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<sst xmlns="http://schemas.openxmlformats.org/spreadsheetml/2006/main" count="1917" uniqueCount="269">
  <si>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</si>
  <si>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</si>
  <si>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</si>
  <si>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</si>
  <si>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</si>
  <si>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</si>
  <si>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</si>
  <si>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</si>
  <si>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</si>
  <si>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</si>
  <si>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</si>
  <si>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</si>
  <si>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</si>
  <si>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</si>
  <si>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</si>
  <si>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</si>
  <si>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</si>
  <si>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</si>
  <si>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</si>
  <si>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</si>
  <si>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</si>
  <si>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</si>
  <si>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</si>
  <si>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</si>
  <si>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</si>
  <si>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</si>
  <si>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</si>
  <si>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</si>
  <si>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</si>
  <si>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</si>
  <si>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</si>
  <si>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</si>
  <si>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</si>
  <si>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</si>
  <si>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</si>
  <si>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</si>
  <si>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</si>
  <si>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</si>
  <si>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</si>
  <si>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</si>
  <si>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</si>
  <si>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</si>
  <si>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</si>
  <si>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</si>
  <si>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</si>
  <si>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</si>
  <si>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</si>
  <si>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</si>
  <si>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</si>
  <si>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</si>
  <si>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</si>
  <si>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</si>
  <si>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</si>
  <si>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</si>
  <si>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</si>
  <si>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</si>
  <si>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</si>
  <si>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</si>
  <si>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</si>
  <si>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</si>
  <si>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</si>
  <si>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</si>
  <si>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</si>
  <si>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</si>
  <si>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</si>
  <si>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</si>
  <si>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</si>
  <si>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</si>
  <si>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</si>
  <si>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</si>
  <si>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</si>
  <si>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</si>
  <si>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</si>
  <si>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</si>
  <si>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</si>
  <si>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</si>
  <si>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</si>
  <si>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</si>
  <si>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</si>
  <si>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</si>
  <si>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</si>
  <si>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</si>
  <si>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</si>
  <si>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</si>
  <si>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</si>
  <si>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</si>
  <si>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</si>
  <si>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</si>
  <si>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</si>
  <si>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</si>
  <si>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</si>
  <si>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</si>
  <si>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</si>
  <si>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</si>
  <si>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</si>
  <si>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</si>
  <si>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</si>
  <si>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</si>
  <si>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</si>
  <si>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</si>
  <si>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</si>
  <si>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</si>
  <si>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</si>
  <si>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</si>
  <si>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</si>
  <si>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</si>
  <si>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</si>
  <si>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</si>
  <si>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</si>
  <si>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</si>
  <si>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</si>
  <si>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</si>
  <si>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</si>
  <si>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</si>
  <si>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</si>
  <si>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</si>
  <si>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</si>
  <si>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</si>
  <si>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</si>
  <si>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</si>
  <si>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</si>
  <si>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</si>
  <si>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</si>
  <si>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</si>
  <si>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</si>
  <si>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</si>
  <si>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</si>
  <si>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</si>
  <si>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</si>
  <si>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</si>
  <si>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</si>
  <si>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</si>
  <si>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</si>
  <si>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</si>
  <si>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</si>
  <si>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</si>
  <si>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</si>
  <si>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</si>
  <si>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</si>
  <si>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</si>
  <si>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</si>
  <si>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</si>
  <si>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</si>
  <si>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</si>
  <si>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</si>
  <si>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</si>
  <si>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</si>
  <si>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</si>
  <si>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</si>
  <si>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</si>
  <si>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</si>
  <si>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</si>
  <si>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</si>
  <si>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</si>
  <si>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</si>
  <si>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</si>
  <si>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</si>
  <si>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</si>
  <si>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</si>
  <si>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</si>
  <si>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</si>
  <si>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</si>
  <si>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</si>
  <si>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</si>
  <si>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</si>
  <si>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</si>
  <si>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</si>
  <si>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</si>
  <si>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</si>
  <si>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</si>
  <si>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</si>
  <si>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</si>
  <si>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</si>
  <si>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</si>
  <si>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</si>
  <si>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</si>
  <si>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</si>
  <si>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</si>
  <si>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</si>
  <si>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</si>
  <si>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</si>
  <si>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</si>
  <si>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</si>
  <si>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</si>
  <si>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</si>
  <si>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</si>
  <si>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</si>
  <si>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</si>
  <si>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</si>
  <si>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</si>
  <si>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</si>
  <si>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</si>
  <si>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</si>
  <si>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</si>
  <si>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</si>
  <si>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</si>
  <si>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</si>
  <si>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</si>
  <si>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</si>
  <si>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</si>
  <si>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</si>
  <si>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</si>
  <si>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</si>
  <si>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</si>
  <si>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</si>
  <si>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</si>
  <si>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</si>
  <si>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</si>
  <si>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</si>
  <si>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</si>
  <si>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</si>
  <si>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</si>
  <si>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</si>
  <si>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</si>
  <si>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</si>
  <si>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</si>
  <si>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</si>
  <si>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</si>
  <si>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</si>
  <si>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</si>
  <si>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</si>
  <si>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</si>
  <si>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</si>
  <si>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</si>
  <si>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</si>
  <si>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</si>
  <si>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</si>
  <si>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</si>
  <si>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</si>
  <si>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</si>
  <si>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</si>
  <si>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</si>
  <si>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</si>
  <si>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</si>
  <si>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</si>
  <si>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</si>
  <si>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</si>
  <si>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</si>
  <si>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</si>
  <si>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</si>
  <si>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</si>
  <si>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</si>
  <si>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</si>
  <si>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</si>
  <si>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</si>
  <si>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</si>
  <si>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</si>
  <si>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</si>
  <si>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</si>
  <si>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</si>
  <si>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</si>
  <si>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</si>
  <si>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</si>
  <si>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</si>
  <si>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</si>
  <si>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</si>
  <si>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</si>
  <si>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</si>
  <si>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</si>
  <si>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</si>
  <si>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</si>
  <si>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</si>
  <si>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</si>
  <si>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</si>
  <si>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</si>
  <si>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</si>
  <si>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</si>
  <si>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09.11.2017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</si>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</sst>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41" fillId="37" borderId="20" xfId="55" applyFont="1" applyFill="1" applyBorder="1" applyAlignment="1" applyProtection="1">
      <alignment horizontal="center" vertical="center" wrapText="1"/>
      <protection/>
    </xf>
    <xf numFmtId="0" fontId="41" fillId="37" borderId="21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37" borderId="20" xfId="55" applyFont="1" applyFill="1" applyBorder="1" applyAlignment="1" applyProtection="1">
      <alignment horizontal="center" vertical="center" wrapText="1"/>
      <protection/>
    </xf>
    <xf numFmtId="0" fontId="24" fillId="37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55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12"/>
    </row>
    <row r="2" spans="2:24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265</v>
      </c>
      <c r="U3" s="389" t="s">
        <v>118</v>
      </c>
      <c r="V3" s="389"/>
      <c r="W3" s="389"/>
      <c r="X3" s="359"/>
    </row>
    <row r="4" spans="1:23" ht="22.5" customHeight="1">
      <c r="A4" s="378"/>
      <c r="B4" s="380"/>
      <c r="C4" s="381"/>
      <c r="D4" s="382"/>
      <c r="E4" s="372" t="s">
        <v>262</v>
      </c>
      <c r="F4" s="400" t="s">
        <v>33</v>
      </c>
      <c r="G4" s="390" t="s">
        <v>263</v>
      </c>
      <c r="H4" s="387" t="s">
        <v>264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268</v>
      </c>
      <c r="V4" s="390" t="s">
        <v>49</v>
      </c>
      <c r="W4" s="392" t="s">
        <v>48</v>
      </c>
    </row>
    <row r="5" spans="1:23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266</v>
      </c>
      <c r="R5" s="399"/>
      <c r="S5" s="399"/>
      <c r="T5" s="388"/>
      <c r="U5" s="375"/>
      <c r="V5" s="391"/>
      <c r="W5" s="392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1179019.6</v>
      </c>
      <c r="F8" s="151">
        <f>F9+F15+F18+F19+F23+F17</f>
        <v>1107543.32</v>
      </c>
      <c r="G8" s="151">
        <f>F8-E8</f>
        <v>-71476.28000000003</v>
      </c>
      <c r="H8" s="152">
        <f>F8/E8*100</f>
        <v>93.93765124854583</v>
      </c>
      <c r="I8" s="153">
        <f aca="true" t="shared" si="0" ref="I8:I40">F8-D8</f>
        <v>-190907.78000000003</v>
      </c>
      <c r="J8" s="153">
        <f aca="true" t="shared" si="1" ref="J8:J39">F8/D8*100</f>
        <v>85.29726841465188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66">F8-Q8</f>
        <v>309924.57000000007</v>
      </c>
      <c r="S8" s="205">
        <f aca="true" t="shared" si="5" ref="S8:S20">F8/Q8</f>
        <v>1.3885622924486167</v>
      </c>
      <c r="T8" s="151">
        <f>T9+T15+T18+T19+T23+T17</f>
        <v>114475</v>
      </c>
      <c r="U8" s="151">
        <f>U9+U15+U18+U19+U23+U17</f>
        <v>31719.179999999993</v>
      </c>
      <c r="V8" s="151">
        <f>U8-T8</f>
        <v>-82755.82</v>
      </c>
      <c r="W8" s="151">
        <f aca="true" t="shared" si="6" ref="W8:W16">U8/T8*100</f>
        <v>27.708390478270356</v>
      </c>
      <c r="X8" s="365">
        <f aca="true" t="shared" si="7" ref="X8:X22">S8-P8</f>
        <v>0.07006475590297678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681520</v>
      </c>
      <c r="F9" s="156">
        <v>639383.71</v>
      </c>
      <c r="G9" s="150">
        <f>F9-E9</f>
        <v>-42136.29000000004</v>
      </c>
      <c r="H9" s="157">
        <f>F9/E9*100</f>
        <v>93.81730690221856</v>
      </c>
      <c r="I9" s="158">
        <f t="shared" si="0"/>
        <v>-127261.29000000004</v>
      </c>
      <c r="J9" s="158">
        <f t="shared" si="1"/>
        <v>83.40023218047466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208100.91999999998</v>
      </c>
      <c r="S9" s="206">
        <f t="shared" si="5"/>
        <v>1.4825161699589264</v>
      </c>
      <c r="T9" s="157">
        <f>E9-жовтень!E9</f>
        <v>67880</v>
      </c>
      <c r="U9" s="160">
        <f>F9-жовтень!F9</f>
        <v>21172.719999999972</v>
      </c>
      <c r="V9" s="161">
        <f>U9-T9</f>
        <v>-46707.28000000003</v>
      </c>
      <c r="W9" s="158">
        <f t="shared" si="6"/>
        <v>31.19139658220385</v>
      </c>
      <c r="X9" s="366">
        <f t="shared" si="7"/>
        <v>0.06780343057815252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621814</v>
      </c>
      <c r="F10" s="140">
        <v>586633.52</v>
      </c>
      <c r="G10" s="103">
        <f aca="true" t="shared" si="8" ref="G10:G35">F10-E10</f>
        <v>-35180.47999999998</v>
      </c>
      <c r="H10" s="105">
        <f aca="true" t="shared" si="9" ref="H10:H15">F10/E10*100</f>
        <v>94.34228241885837</v>
      </c>
      <c r="I10" s="104">
        <f t="shared" si="0"/>
        <v>-114683.47999999998</v>
      </c>
      <c r="J10" s="104">
        <f t="shared" si="1"/>
        <v>83.64741194067733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207185.17000000004</v>
      </c>
      <c r="S10" s="207">
        <f t="shared" si="5"/>
        <v>1.5460167899003912</v>
      </c>
      <c r="T10" s="105">
        <f>E10-жовтень!E10</f>
        <v>62264</v>
      </c>
      <c r="U10" s="144">
        <f>F10-жовтень!F10</f>
        <v>20102.400000000023</v>
      </c>
      <c r="V10" s="106">
        <f aca="true" t="shared" si="10" ref="V10:V40">U10-T10</f>
        <v>-42161.59999999998</v>
      </c>
      <c r="W10" s="104">
        <f t="shared" si="6"/>
        <v>32.285750995760026</v>
      </c>
      <c r="X10" s="364">
        <f t="shared" si="7"/>
        <v>0.07324940063619567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42360</v>
      </c>
      <c r="F11" s="140">
        <v>33975.58</v>
      </c>
      <c r="G11" s="103">
        <f t="shared" si="8"/>
        <v>-8384.419999999998</v>
      </c>
      <c r="H11" s="105">
        <f t="shared" si="9"/>
        <v>80.20675165250236</v>
      </c>
      <c r="I11" s="104">
        <f t="shared" si="0"/>
        <v>-12530.419999999998</v>
      </c>
      <c r="J11" s="104">
        <f t="shared" si="1"/>
        <v>73.05633681675484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1211.4800000000032</v>
      </c>
      <c r="S11" s="207">
        <f t="shared" si="5"/>
        <v>1.0369758363574768</v>
      </c>
      <c r="T11" s="105">
        <f>E11-жовтень!E11</f>
        <v>4260</v>
      </c>
      <c r="U11" s="144">
        <f>F11-жовтень!F11</f>
        <v>562.7700000000041</v>
      </c>
      <c r="V11" s="106">
        <f t="shared" si="10"/>
        <v>-3697.229999999996</v>
      </c>
      <c r="W11" s="104">
        <f t="shared" si="6"/>
        <v>13.210563380281787</v>
      </c>
      <c r="X11" s="364">
        <f t="shared" si="7"/>
        <v>-0.05982938178072783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8479.02</v>
      </c>
      <c r="G12" s="103">
        <f t="shared" si="8"/>
        <v>979.0200000000004</v>
      </c>
      <c r="H12" s="105">
        <f t="shared" si="9"/>
        <v>113.0536</v>
      </c>
      <c r="I12" s="104">
        <f t="shared" si="0"/>
        <v>199.02000000000044</v>
      </c>
      <c r="J12" s="104">
        <f t="shared" si="1"/>
        <v>102.40362318840582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502.4500000000007</v>
      </c>
      <c r="S12" s="207">
        <f t="shared" si="5"/>
        <v>1.0629907341125322</v>
      </c>
      <c r="T12" s="105">
        <f>E12-жовтень!E12</f>
        <v>720</v>
      </c>
      <c r="U12" s="144">
        <f>F12-жовтень!F12</f>
        <v>196.03000000000065</v>
      </c>
      <c r="V12" s="106">
        <f t="shared" si="10"/>
        <v>-523.9699999999993</v>
      </c>
      <c r="W12" s="104">
        <f t="shared" si="6"/>
        <v>27.22638888888898</v>
      </c>
      <c r="X12" s="364">
        <f t="shared" si="7"/>
        <v>0.28654079825404866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9122.24</v>
      </c>
      <c r="G13" s="103">
        <f t="shared" si="8"/>
        <v>332.2399999999998</v>
      </c>
      <c r="H13" s="105">
        <f t="shared" si="9"/>
        <v>103.7797497155859</v>
      </c>
      <c r="I13" s="104">
        <f t="shared" si="0"/>
        <v>-267.7600000000002</v>
      </c>
      <c r="J13" s="104">
        <f t="shared" si="1"/>
        <v>97.14845580404685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772.4499999999989</v>
      </c>
      <c r="S13" s="207">
        <f t="shared" si="5"/>
        <v>1.092511308667643</v>
      </c>
      <c r="T13" s="105">
        <f>E13-жовтень!E13</f>
        <v>540</v>
      </c>
      <c r="U13" s="144">
        <f>F13-жовтень!F13</f>
        <v>282.369999999999</v>
      </c>
      <c r="V13" s="106">
        <f t="shared" si="10"/>
        <v>-257.630000000001</v>
      </c>
      <c r="W13" s="104">
        <f t="shared" si="6"/>
        <v>52.290740740740546</v>
      </c>
      <c r="X13" s="364">
        <f t="shared" si="7"/>
        <v>0.10747463467177187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1173.35</v>
      </c>
      <c r="G14" s="103">
        <f t="shared" si="8"/>
        <v>117.34999999999991</v>
      </c>
      <c r="H14" s="105">
        <f t="shared" si="9"/>
        <v>111.11268939393939</v>
      </c>
      <c r="I14" s="104">
        <f t="shared" si="0"/>
        <v>21.34999999999991</v>
      </c>
      <c r="J14" s="104">
        <f t="shared" si="1"/>
        <v>101.8532986111111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-1570.6399999999999</v>
      </c>
      <c r="S14" s="207">
        <f t="shared" si="5"/>
        <v>0.4276072434666307</v>
      </c>
      <c r="T14" s="105">
        <f>E14-жовтень!E14</f>
        <v>96</v>
      </c>
      <c r="U14" s="144">
        <f>F14-жовтень!F14</f>
        <v>29.149999999999864</v>
      </c>
      <c r="V14" s="106">
        <f t="shared" si="10"/>
        <v>-66.85000000000014</v>
      </c>
      <c r="W14" s="104">
        <f t="shared" si="6"/>
        <v>30.36458333333319</v>
      </c>
      <c r="X14" s="364">
        <f t="shared" si="7"/>
        <v>0.058462844559964644</v>
      </c>
    </row>
    <row r="15" spans="1:24" s="6" customFormat="1" ht="30.75">
      <c r="A15" s="8"/>
      <c r="B15" s="131" t="s">
        <v>11</v>
      </c>
      <c r="C15" s="43">
        <v>11020200</v>
      </c>
      <c r="D15" s="150">
        <v>551</v>
      </c>
      <c r="E15" s="150">
        <v>551</v>
      </c>
      <c r="F15" s="156">
        <v>389.29</v>
      </c>
      <c r="G15" s="150">
        <f t="shared" si="8"/>
        <v>-161.70999999999998</v>
      </c>
      <c r="H15" s="157">
        <f t="shared" si="9"/>
        <v>70.65154264972777</v>
      </c>
      <c r="I15" s="158">
        <f t="shared" si="0"/>
        <v>-161.70999999999998</v>
      </c>
      <c r="J15" s="158">
        <f t="shared" si="1"/>
        <v>70.65154264972777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2.4700000000000273</v>
      </c>
      <c r="S15" s="208">
        <f t="shared" si="5"/>
        <v>1.0063853988935423</v>
      </c>
      <c r="T15" s="157">
        <f>E15-жовтень!E15</f>
        <v>100</v>
      </c>
      <c r="U15" s="160">
        <f>F15-жовтень!F15</f>
        <v>9</v>
      </c>
      <c r="V15" s="161">
        <f t="shared" si="10"/>
        <v>-91</v>
      </c>
      <c r="W15" s="158">
        <f t="shared" si="6"/>
        <v>9</v>
      </c>
      <c r="X15" s="363">
        <f t="shared" si="7"/>
        <v>-0.1932923646109972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158" t="e">
        <f t="shared" si="6"/>
        <v>#DIV/0!</v>
      </c>
      <c r="X16" s="363" t="e">
        <f t="shared" si="7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158"/>
      <c r="X17" s="363">
        <f t="shared" si="7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147.46</v>
      </c>
      <c r="G18" s="150">
        <f t="shared" si="8"/>
        <v>22.460000000000008</v>
      </c>
      <c r="H18" s="157">
        <f>F18/E18*100</f>
        <v>117.968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E18-жовтень!E18</f>
        <v>35</v>
      </c>
      <c r="U18" s="160">
        <f>F18-жовтень!F18</f>
        <v>0</v>
      </c>
      <c r="V18" s="161">
        <f t="shared" si="10"/>
        <v>-35</v>
      </c>
      <c r="W18" s="158">
        <f aca="true" t="shared" si="11" ref="W18:W35">U18/T18*100</f>
        <v>0</v>
      </c>
      <c r="X18" s="363">
        <f t="shared" si="7"/>
        <v>0.3913560408875443</v>
      </c>
    </row>
    <row r="19" spans="1:24" s="6" customFormat="1" ht="18">
      <c r="A19" s="8"/>
      <c r="B19" s="130" t="s">
        <v>172</v>
      </c>
      <c r="C19" s="43"/>
      <c r="D19" s="150">
        <f>D20+D21+D22</f>
        <v>130000</v>
      </c>
      <c r="E19" s="150">
        <v>118600</v>
      </c>
      <c r="F19" s="223">
        <v>101838.55</v>
      </c>
      <c r="G19" s="150">
        <f t="shared" si="8"/>
        <v>-16761.449999999997</v>
      </c>
      <c r="H19" s="157">
        <f aca="true" t="shared" si="12" ref="H19:H39">F19/E19*100</f>
        <v>85.86724283305229</v>
      </c>
      <c r="I19" s="158">
        <f t="shared" si="0"/>
        <v>-28161.449999999997</v>
      </c>
      <c r="J19" s="158">
        <f t="shared" si="1"/>
        <v>78.33734615384616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18208.12000000001</v>
      </c>
      <c r="S19" s="208">
        <f t="shared" si="5"/>
        <v>1.2177212289832782</v>
      </c>
      <c r="T19" s="157">
        <f>E19-жовтень!E19</f>
        <v>11800</v>
      </c>
      <c r="U19" s="160">
        <f>F19-жовтень!F19</f>
        <v>1629.9400000000023</v>
      </c>
      <c r="V19" s="161">
        <f t="shared" si="10"/>
        <v>-10170.059999999998</v>
      </c>
      <c r="W19" s="158">
        <f t="shared" si="11"/>
        <v>13.813050847457648</v>
      </c>
      <c r="X19" s="363">
        <f t="shared" si="7"/>
        <v>-0.05929603589721455</v>
      </c>
    </row>
    <row r="20" spans="1:24" s="6" customFormat="1" ht="61.5">
      <c r="A20" s="8"/>
      <c r="B20" s="252" t="s">
        <v>205</v>
      </c>
      <c r="C20" s="123">
        <v>14040000</v>
      </c>
      <c r="D20" s="253">
        <v>76500</v>
      </c>
      <c r="E20" s="253">
        <v>70100</v>
      </c>
      <c r="F20" s="201">
        <v>51978.12</v>
      </c>
      <c r="G20" s="253">
        <f t="shared" si="8"/>
        <v>-18121.879999999997</v>
      </c>
      <c r="H20" s="195">
        <f t="shared" si="12"/>
        <v>74.14853067047076</v>
      </c>
      <c r="I20" s="254">
        <f t="shared" si="0"/>
        <v>-24521.879999999997</v>
      </c>
      <c r="J20" s="254">
        <f t="shared" si="1"/>
        <v>67.94525490196078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-31652.30999999999</v>
      </c>
      <c r="S20" s="256">
        <f t="shared" si="5"/>
        <v>0.6215216159955175</v>
      </c>
      <c r="T20" s="195">
        <f>E20-жовтень!E20</f>
        <v>6800</v>
      </c>
      <c r="U20" s="179">
        <f>F20-жовтень!F20</f>
        <v>53.62000000000262</v>
      </c>
      <c r="V20" s="166">
        <f t="shared" si="10"/>
        <v>-6746.379999999997</v>
      </c>
      <c r="W20" s="254">
        <f t="shared" si="11"/>
        <v>0.7885294117647443</v>
      </c>
      <c r="X20" s="363">
        <f t="shared" si="7"/>
        <v>-0.12995392833800323</v>
      </c>
    </row>
    <row r="21" spans="1:24" s="6" customFormat="1" ht="18">
      <c r="A21" s="8"/>
      <c r="B21" s="252" t="s">
        <v>170</v>
      </c>
      <c r="C21" s="123">
        <v>14021900</v>
      </c>
      <c r="D21" s="253">
        <v>10700</v>
      </c>
      <c r="E21" s="253">
        <v>9700</v>
      </c>
      <c r="F21" s="201">
        <v>10017.09</v>
      </c>
      <c r="G21" s="253">
        <f t="shared" si="8"/>
        <v>317.09000000000015</v>
      </c>
      <c r="H21" s="195">
        <f t="shared" si="12"/>
        <v>103.26896907216494</v>
      </c>
      <c r="I21" s="254">
        <f t="shared" si="0"/>
        <v>-682.9099999999999</v>
      </c>
      <c r="J21" s="254">
        <f t="shared" si="1"/>
        <v>93.61766355140188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10017.09</v>
      </c>
      <c r="S21" s="256"/>
      <c r="T21" s="195">
        <f>E21-жовтень!E21</f>
        <v>1000</v>
      </c>
      <c r="U21" s="179">
        <f>F21-жовтень!F21</f>
        <v>4.930000000000291</v>
      </c>
      <c r="V21" s="166">
        <f t="shared" si="10"/>
        <v>-995.0699999999997</v>
      </c>
      <c r="W21" s="254">
        <f t="shared" si="11"/>
        <v>0.4930000000000291</v>
      </c>
      <c r="X21" s="363">
        <f t="shared" si="7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42800</v>
      </c>
      <c r="E22" s="253">
        <v>38800</v>
      </c>
      <c r="F22" s="201">
        <v>39843.35</v>
      </c>
      <c r="G22" s="253">
        <f t="shared" si="8"/>
        <v>1043.3499999999985</v>
      </c>
      <c r="H22" s="195">
        <f t="shared" si="12"/>
        <v>102.68904639175258</v>
      </c>
      <c r="I22" s="254">
        <f t="shared" si="0"/>
        <v>-2956.6500000000015</v>
      </c>
      <c r="J22" s="254">
        <f t="shared" si="1"/>
        <v>93.09193925233645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39843.35</v>
      </c>
      <c r="S22" s="256"/>
      <c r="T22" s="195">
        <f>E22-жовтень!E22</f>
        <v>4000</v>
      </c>
      <c r="U22" s="179">
        <f>F22-жовтень!F22</f>
        <v>1571.4000000000015</v>
      </c>
      <c r="V22" s="166">
        <f t="shared" si="10"/>
        <v>-2428.5999999999985</v>
      </c>
      <c r="W22" s="254">
        <f t="shared" si="11"/>
        <v>39.28500000000004</v>
      </c>
      <c r="X22" s="363">
        <f t="shared" si="7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378223.6</v>
      </c>
      <c r="F23" s="223">
        <v>365783.82</v>
      </c>
      <c r="G23" s="150">
        <f t="shared" si="8"/>
        <v>-12439.77999999997</v>
      </c>
      <c r="H23" s="157">
        <f t="shared" si="12"/>
        <v>96.71099846757316</v>
      </c>
      <c r="I23" s="158">
        <f t="shared" si="0"/>
        <v>-35346.27999999997</v>
      </c>
      <c r="J23" s="158">
        <f t="shared" si="1"/>
        <v>91.18832518427314</v>
      </c>
      <c r="K23" s="158"/>
      <c r="L23" s="158"/>
      <c r="M23" s="158"/>
      <c r="N23" s="158">
        <v>340503.51</v>
      </c>
      <c r="O23" s="158">
        <f aca="true" t="shared" si="13" ref="O23:O39">D23-N23</f>
        <v>60626.58999999997</v>
      </c>
      <c r="P23" s="210">
        <f aca="true" t="shared" si="14" ref="P23:P39">D23/N23</f>
        <v>1.1780498239210515</v>
      </c>
      <c r="Q23" s="158">
        <v>282212.74</v>
      </c>
      <c r="R23" s="161">
        <f t="shared" si="4"/>
        <v>83571.08000000002</v>
      </c>
      <c r="S23" s="209">
        <f aca="true" t="shared" si="15" ref="S23:S31">F23/Q23</f>
        <v>1.2961279494327578</v>
      </c>
      <c r="T23" s="157">
        <f>E23-жовтень!E23</f>
        <v>34660</v>
      </c>
      <c r="U23" s="160">
        <f>F23-жовтень!F23</f>
        <v>8907.520000000019</v>
      </c>
      <c r="V23" s="161">
        <f t="shared" si="10"/>
        <v>-25752.47999999998</v>
      </c>
      <c r="W23" s="158">
        <f t="shared" si="11"/>
        <v>25.69971148297755</v>
      </c>
      <c r="X23" s="363">
        <f>S23-P23</f>
        <v>0.11807812551170627</v>
      </c>
    </row>
    <row r="24" spans="1:24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190361.1</v>
      </c>
      <c r="F24" s="223">
        <f>F25+F28+F29</f>
        <v>176981.78999999998</v>
      </c>
      <c r="G24" s="150">
        <f t="shared" si="8"/>
        <v>-13379.310000000027</v>
      </c>
      <c r="H24" s="157">
        <f t="shared" si="12"/>
        <v>92.9716155243902</v>
      </c>
      <c r="I24" s="158">
        <f t="shared" si="0"/>
        <v>-29639.21000000002</v>
      </c>
      <c r="J24" s="158">
        <f t="shared" si="1"/>
        <v>85.65527705315529</v>
      </c>
      <c r="K24" s="158"/>
      <c r="L24" s="158"/>
      <c r="M24" s="158"/>
      <c r="N24" s="158">
        <v>182295.05</v>
      </c>
      <c r="O24" s="158">
        <f t="shared" si="13"/>
        <v>24325.95000000001</v>
      </c>
      <c r="P24" s="210">
        <f t="shared" si="14"/>
        <v>1.1334427347314149</v>
      </c>
      <c r="Q24" s="158">
        <v>153656.31</v>
      </c>
      <c r="R24" s="161">
        <f t="shared" si="4"/>
        <v>23325.47999999998</v>
      </c>
      <c r="S24" s="209">
        <f t="shared" si="15"/>
        <v>1.1518029425540675</v>
      </c>
      <c r="T24" s="157">
        <f>E24-жовтень!E24</f>
        <v>15945</v>
      </c>
      <c r="U24" s="160">
        <f>F24-жовтень!F24</f>
        <v>1055.1000000000058</v>
      </c>
      <c r="V24" s="161">
        <f t="shared" si="10"/>
        <v>-14889.899999999994</v>
      </c>
      <c r="W24" s="158">
        <f t="shared" si="11"/>
        <v>6.6171213546566685</v>
      </c>
      <c r="X24" s="363">
        <f aca="true" t="shared" si="16" ref="X24:X87">S24-P24</f>
        <v>0.018360207822652574</v>
      </c>
    </row>
    <row r="25" spans="1:24" s="6" customFormat="1" ht="18">
      <c r="A25" s="8"/>
      <c r="B25" s="50" t="s">
        <v>74</v>
      </c>
      <c r="C25" s="123"/>
      <c r="D25" s="253">
        <v>22809</v>
      </c>
      <c r="E25" s="368">
        <v>22164.1</v>
      </c>
      <c r="F25" s="201">
        <v>23724.41</v>
      </c>
      <c r="G25" s="253">
        <f t="shared" si="8"/>
        <v>1560.3100000000013</v>
      </c>
      <c r="H25" s="195">
        <f t="shared" si="12"/>
        <v>107.03980761682182</v>
      </c>
      <c r="I25" s="254">
        <f t="shared" si="0"/>
        <v>915.4099999999999</v>
      </c>
      <c r="J25" s="254">
        <f t="shared" si="1"/>
        <v>104.01337191459513</v>
      </c>
      <c r="K25" s="254"/>
      <c r="L25" s="254"/>
      <c r="M25" s="254"/>
      <c r="N25" s="254">
        <v>21482.16</v>
      </c>
      <c r="O25" s="254">
        <f t="shared" si="13"/>
        <v>1326.8400000000001</v>
      </c>
      <c r="P25" s="305">
        <f t="shared" si="14"/>
        <v>1.0617647387413556</v>
      </c>
      <c r="Q25" s="304">
        <v>20221.39</v>
      </c>
      <c r="R25" s="166">
        <f t="shared" si="4"/>
        <v>3503.0200000000004</v>
      </c>
      <c r="S25" s="215">
        <f t="shared" si="15"/>
        <v>1.1732333929566663</v>
      </c>
      <c r="T25" s="195">
        <f>E25-жовтень!E25</f>
        <v>305</v>
      </c>
      <c r="U25" s="179">
        <f>F25-жовтень!F25</f>
        <v>125.22000000000116</v>
      </c>
      <c r="V25" s="166">
        <f t="shared" si="10"/>
        <v>-179.77999999999884</v>
      </c>
      <c r="W25" s="254">
        <f t="shared" si="11"/>
        <v>41.055737704918414</v>
      </c>
      <c r="X25" s="363">
        <f t="shared" si="16"/>
        <v>0.11146865421531071</v>
      </c>
    </row>
    <row r="26" spans="1:24" s="6" customFormat="1" ht="18" customHeight="1" hidden="1">
      <c r="A26" s="8"/>
      <c r="B26" s="196" t="s">
        <v>109</v>
      </c>
      <c r="C26" s="197"/>
      <c r="D26" s="198">
        <v>1822.3</v>
      </c>
      <c r="E26" s="298">
        <v>1767.3</v>
      </c>
      <c r="F26" s="199">
        <v>1260.13</v>
      </c>
      <c r="G26" s="223">
        <f t="shared" si="8"/>
        <v>-507.16999999999985</v>
      </c>
      <c r="H26" s="237">
        <f t="shared" si="12"/>
        <v>71.3025519153511</v>
      </c>
      <c r="I26" s="299">
        <f t="shared" si="0"/>
        <v>-562.1699999999998</v>
      </c>
      <c r="J26" s="299">
        <f t="shared" si="1"/>
        <v>69.15052406299732</v>
      </c>
      <c r="K26" s="299"/>
      <c r="L26" s="299"/>
      <c r="M26" s="299"/>
      <c r="N26" s="299">
        <v>842.7</v>
      </c>
      <c r="O26" s="299">
        <f t="shared" si="13"/>
        <v>979.5999999999999</v>
      </c>
      <c r="P26" s="341">
        <f t="shared" si="14"/>
        <v>2.162454016850599</v>
      </c>
      <c r="Q26" s="200">
        <v>795.54</v>
      </c>
      <c r="R26" s="367">
        <f t="shared" si="4"/>
        <v>464.59000000000015</v>
      </c>
      <c r="S26" s="228">
        <f t="shared" si="15"/>
        <v>1.5839932624380926</v>
      </c>
      <c r="T26" s="237">
        <f>E26-жовтень!E26</f>
        <v>55</v>
      </c>
      <c r="U26" s="237">
        <f>F26-жовтень!F26</f>
        <v>7.810000000000173</v>
      </c>
      <c r="V26" s="299">
        <f t="shared" si="10"/>
        <v>-47.18999999999983</v>
      </c>
      <c r="W26" s="299">
        <f t="shared" si="11"/>
        <v>14.200000000000315</v>
      </c>
      <c r="X26" s="363">
        <f t="shared" si="16"/>
        <v>-0.5784607544125064</v>
      </c>
    </row>
    <row r="27" spans="1:24" s="6" customFormat="1" ht="18" customHeight="1" hidden="1">
      <c r="A27" s="8"/>
      <c r="B27" s="196" t="s">
        <v>110</v>
      </c>
      <c r="C27" s="197"/>
      <c r="D27" s="198">
        <v>20986.7</v>
      </c>
      <c r="E27" s="298">
        <v>20396.8</v>
      </c>
      <c r="F27" s="199">
        <v>22464.27</v>
      </c>
      <c r="G27" s="223">
        <f t="shared" si="8"/>
        <v>2067.470000000001</v>
      </c>
      <c r="H27" s="237">
        <f t="shared" si="12"/>
        <v>110.13624686225292</v>
      </c>
      <c r="I27" s="299">
        <f t="shared" si="0"/>
        <v>1477.5699999999997</v>
      </c>
      <c r="J27" s="299">
        <f t="shared" si="1"/>
        <v>107.0405066065651</v>
      </c>
      <c r="K27" s="299"/>
      <c r="L27" s="299"/>
      <c r="M27" s="299"/>
      <c r="N27" s="299">
        <v>20639.46</v>
      </c>
      <c r="O27" s="299">
        <f t="shared" si="13"/>
        <v>347.2400000000016</v>
      </c>
      <c r="P27" s="341">
        <f t="shared" si="14"/>
        <v>1.01682408357583</v>
      </c>
      <c r="Q27" s="200">
        <v>19425.85</v>
      </c>
      <c r="R27" s="367">
        <f t="shared" si="4"/>
        <v>3038.420000000002</v>
      </c>
      <c r="S27" s="228">
        <f t="shared" si="15"/>
        <v>1.156411173771032</v>
      </c>
      <c r="T27" s="237">
        <f>E27-жовтень!E27</f>
        <v>250</v>
      </c>
      <c r="U27" s="237">
        <f>F27-жовтень!F27</f>
        <v>117.38999999999942</v>
      </c>
      <c r="V27" s="299">
        <f t="shared" si="10"/>
        <v>-132.61000000000058</v>
      </c>
      <c r="W27" s="299">
        <f t="shared" si="11"/>
        <v>46.95599999999976</v>
      </c>
      <c r="X27" s="363">
        <f t="shared" si="16"/>
        <v>0.1395870901952021</v>
      </c>
    </row>
    <row r="28" spans="1:24" s="6" customFormat="1" ht="18">
      <c r="A28" s="8"/>
      <c r="B28" s="50" t="s">
        <v>75</v>
      </c>
      <c r="C28" s="123"/>
      <c r="D28" s="171">
        <v>820</v>
      </c>
      <c r="E28" s="369">
        <v>745</v>
      </c>
      <c r="F28" s="172">
        <v>258.92</v>
      </c>
      <c r="G28" s="253">
        <f t="shared" si="8"/>
        <v>-486.08</v>
      </c>
      <c r="H28" s="195">
        <f t="shared" si="12"/>
        <v>34.754362416107384</v>
      </c>
      <c r="I28" s="254">
        <f t="shared" si="0"/>
        <v>-561.0799999999999</v>
      </c>
      <c r="J28" s="254">
        <f t="shared" si="1"/>
        <v>31.57560975609756</v>
      </c>
      <c r="K28" s="254"/>
      <c r="L28" s="254"/>
      <c r="M28" s="254"/>
      <c r="N28" s="254">
        <v>701.85</v>
      </c>
      <c r="O28" s="254">
        <f t="shared" si="13"/>
        <v>118.14999999999998</v>
      </c>
      <c r="P28" s="305">
        <f t="shared" si="14"/>
        <v>1.1683408135641518</v>
      </c>
      <c r="Q28" s="174">
        <v>810.29</v>
      </c>
      <c r="R28" s="174">
        <f t="shared" si="4"/>
        <v>-551.3699999999999</v>
      </c>
      <c r="S28" s="212">
        <f t="shared" si="15"/>
        <v>0.31953991780720487</v>
      </c>
      <c r="T28" s="195">
        <f>E28-жовтень!E28</f>
        <v>105</v>
      </c>
      <c r="U28" s="179">
        <f>F28-жовтень!F28</f>
        <v>6.250000000000028</v>
      </c>
      <c r="V28" s="166">
        <f t="shared" si="10"/>
        <v>-98.74999999999997</v>
      </c>
      <c r="W28" s="254">
        <f t="shared" si="11"/>
        <v>5.952380952380979</v>
      </c>
      <c r="X28" s="364">
        <f t="shared" si="16"/>
        <v>-0.8488008957569468</v>
      </c>
    </row>
    <row r="29" spans="1:24" s="6" customFormat="1" ht="18">
      <c r="A29" s="8"/>
      <c r="B29" s="50" t="s">
        <v>76</v>
      </c>
      <c r="C29" s="123"/>
      <c r="D29" s="171">
        <v>182992</v>
      </c>
      <c r="E29" s="369">
        <v>167452</v>
      </c>
      <c r="F29" s="172">
        <v>152998.46</v>
      </c>
      <c r="G29" s="150">
        <f t="shared" si="8"/>
        <v>-14453.540000000008</v>
      </c>
      <c r="H29" s="195">
        <f t="shared" si="12"/>
        <v>91.36854740462938</v>
      </c>
      <c r="I29" s="254">
        <f t="shared" si="0"/>
        <v>-29993.540000000008</v>
      </c>
      <c r="J29" s="254">
        <f t="shared" si="1"/>
        <v>83.60937090146017</v>
      </c>
      <c r="K29" s="254"/>
      <c r="L29" s="254"/>
      <c r="M29" s="254"/>
      <c r="N29" s="254">
        <v>160111.04</v>
      </c>
      <c r="O29" s="254">
        <f t="shared" si="13"/>
        <v>22880.959999999992</v>
      </c>
      <c r="P29" s="305">
        <f t="shared" si="14"/>
        <v>1.1429068226650705</v>
      </c>
      <c r="Q29" s="175">
        <v>132624.64</v>
      </c>
      <c r="R29" s="175">
        <f t="shared" si="4"/>
        <v>20373.819999999978</v>
      </c>
      <c r="S29" s="211">
        <f t="shared" si="15"/>
        <v>1.153620171937884</v>
      </c>
      <c r="T29" s="195">
        <f>E29-жовтень!E29</f>
        <v>15535</v>
      </c>
      <c r="U29" s="179">
        <f>F29-жовтень!F29</f>
        <v>923.6300000000047</v>
      </c>
      <c r="V29" s="166">
        <f t="shared" si="10"/>
        <v>-14611.369999999995</v>
      </c>
      <c r="W29" s="254">
        <f t="shared" si="11"/>
        <v>5.945477953009363</v>
      </c>
      <c r="X29" s="364">
        <f t="shared" si="16"/>
        <v>0.010713349272813533</v>
      </c>
    </row>
    <row r="30" spans="1:24" s="6" customFormat="1" ht="18" customHeight="1" hidden="1">
      <c r="A30" s="8"/>
      <c r="B30" s="196" t="s">
        <v>111</v>
      </c>
      <c r="C30" s="197"/>
      <c r="D30" s="198">
        <v>57533</v>
      </c>
      <c r="E30" s="198">
        <v>52733</v>
      </c>
      <c r="F30" s="199">
        <v>49864.49</v>
      </c>
      <c r="G30" s="223">
        <f t="shared" si="8"/>
        <v>-2868.510000000002</v>
      </c>
      <c r="H30" s="237">
        <f t="shared" si="12"/>
        <v>94.56031327631653</v>
      </c>
      <c r="I30" s="299">
        <f t="shared" si="0"/>
        <v>-7668.510000000002</v>
      </c>
      <c r="J30" s="299">
        <f t="shared" si="1"/>
        <v>86.6711104931083</v>
      </c>
      <c r="K30" s="299"/>
      <c r="L30" s="299"/>
      <c r="M30" s="299"/>
      <c r="N30" s="299">
        <v>49911.97</v>
      </c>
      <c r="O30" s="299">
        <f t="shared" si="13"/>
        <v>7621.029999999999</v>
      </c>
      <c r="P30" s="341">
        <f t="shared" si="14"/>
        <v>1.152689425001658</v>
      </c>
      <c r="Q30" s="200">
        <v>42006.28</v>
      </c>
      <c r="R30" s="200">
        <f t="shared" si="4"/>
        <v>7858.209999999999</v>
      </c>
      <c r="S30" s="228">
        <f t="shared" si="15"/>
        <v>1.187072266337319</v>
      </c>
      <c r="T30" s="237">
        <f>E30-жовтень!E30</f>
        <v>4800</v>
      </c>
      <c r="U30" s="237">
        <f>F30-жовтень!F30</f>
        <v>216.37999999999738</v>
      </c>
      <c r="V30" s="299">
        <f t="shared" si="10"/>
        <v>-4583.620000000003</v>
      </c>
      <c r="W30" s="299">
        <f t="shared" si="11"/>
        <v>4.507916666666612</v>
      </c>
      <c r="X30" s="363">
        <f t="shared" si="16"/>
        <v>0.03438284133566105</v>
      </c>
    </row>
    <row r="31" spans="1:24" s="6" customFormat="1" ht="18" customHeight="1" hidden="1">
      <c r="A31" s="8"/>
      <c r="B31" s="196" t="s">
        <v>112</v>
      </c>
      <c r="C31" s="197"/>
      <c r="D31" s="198">
        <v>125459</v>
      </c>
      <c r="E31" s="198">
        <v>114719</v>
      </c>
      <c r="F31" s="199">
        <v>103133.97</v>
      </c>
      <c r="G31" s="223">
        <f t="shared" si="8"/>
        <v>-11585.029999999999</v>
      </c>
      <c r="H31" s="237">
        <f t="shared" si="12"/>
        <v>89.90138512364997</v>
      </c>
      <c r="I31" s="299">
        <f t="shared" si="0"/>
        <v>-22325.03</v>
      </c>
      <c r="J31" s="299">
        <f t="shared" si="1"/>
        <v>82.20531807203947</v>
      </c>
      <c r="K31" s="299"/>
      <c r="L31" s="299"/>
      <c r="M31" s="299"/>
      <c r="N31" s="299">
        <v>110199.06</v>
      </c>
      <c r="O31" s="299">
        <f t="shared" si="13"/>
        <v>15259.940000000002</v>
      </c>
      <c r="P31" s="341">
        <f t="shared" si="14"/>
        <v>1.1384761358218483</v>
      </c>
      <c r="Q31" s="200">
        <v>90618.36</v>
      </c>
      <c r="R31" s="200">
        <f t="shared" si="4"/>
        <v>12515.61</v>
      </c>
      <c r="S31" s="228">
        <f t="shared" si="15"/>
        <v>1.1381134021847228</v>
      </c>
      <c r="T31" s="237">
        <f>E31-жовтень!E31</f>
        <v>10735</v>
      </c>
      <c r="U31" s="237">
        <f>F31-жовтень!F31</f>
        <v>707.25</v>
      </c>
      <c r="V31" s="299">
        <f t="shared" si="10"/>
        <v>-10027.75</v>
      </c>
      <c r="W31" s="299">
        <f t="shared" si="11"/>
        <v>6.588262692128552</v>
      </c>
      <c r="X31" s="363">
        <f t="shared" si="16"/>
        <v>-0.00036273363712546747</v>
      </c>
    </row>
    <row r="32" spans="1:24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3"/>
        <v>-0.15</v>
      </c>
      <c r="P32" s="210">
        <f t="shared" si="14"/>
        <v>0</v>
      </c>
      <c r="Q32" s="167">
        <v>0.15</v>
      </c>
      <c r="R32" s="158">
        <f t="shared" si="4"/>
        <v>0.05000000000000002</v>
      </c>
      <c r="S32" s="210"/>
      <c r="T32" s="157">
        <f>E32-жовтень!E32</f>
        <v>0</v>
      </c>
      <c r="U32" s="160">
        <f>F32-жовтень!F32</f>
        <v>0</v>
      </c>
      <c r="V32" s="161">
        <f t="shared" si="10"/>
        <v>0</v>
      </c>
      <c r="W32" s="158"/>
      <c r="X32" s="363">
        <f t="shared" si="16"/>
        <v>0</v>
      </c>
    </row>
    <row r="33" spans="1:24" s="6" customFormat="1" ht="18">
      <c r="A33" s="8"/>
      <c r="B33" s="44" t="s">
        <v>82</v>
      </c>
      <c r="C33" s="114">
        <v>18030000</v>
      </c>
      <c r="D33" s="150">
        <v>115</v>
      </c>
      <c r="E33" s="150">
        <v>107.5</v>
      </c>
      <c r="F33" s="156">
        <v>136.82</v>
      </c>
      <c r="G33" s="150">
        <f t="shared" si="8"/>
        <v>29.319999999999993</v>
      </c>
      <c r="H33" s="157">
        <f t="shared" si="12"/>
        <v>127.27441860465116</v>
      </c>
      <c r="I33" s="158">
        <f t="shared" si="0"/>
        <v>21.819999999999993</v>
      </c>
      <c r="J33" s="158">
        <f t="shared" si="1"/>
        <v>118.97391304347826</v>
      </c>
      <c r="K33" s="158"/>
      <c r="L33" s="158"/>
      <c r="M33" s="158"/>
      <c r="N33" s="158">
        <v>117.68</v>
      </c>
      <c r="O33" s="158">
        <f t="shared" si="13"/>
        <v>-2.680000000000007</v>
      </c>
      <c r="P33" s="210">
        <f t="shared" si="14"/>
        <v>0.9772263766145479</v>
      </c>
      <c r="Q33" s="158">
        <v>96.18</v>
      </c>
      <c r="R33" s="158">
        <f t="shared" si="4"/>
        <v>40.639999999999986</v>
      </c>
      <c r="S33" s="210">
        <f aca="true" t="shared" si="17" ref="S33:S39">F33/Q33</f>
        <v>1.4225410688292783</v>
      </c>
      <c r="T33" s="157">
        <f>E33-жовтень!E33</f>
        <v>15</v>
      </c>
      <c r="U33" s="160">
        <f>F33-жовтень!F33</f>
        <v>2.4599999999999795</v>
      </c>
      <c r="V33" s="161">
        <f t="shared" si="10"/>
        <v>-12.54000000000002</v>
      </c>
      <c r="W33" s="158">
        <f t="shared" si="11"/>
        <v>16.399999999999864</v>
      </c>
      <c r="X33" s="363">
        <f t="shared" si="16"/>
        <v>0.4453146922147304</v>
      </c>
    </row>
    <row r="34" spans="1:24" s="6" customFormat="1" ht="30.75">
      <c r="A34" s="8"/>
      <c r="B34" s="225" t="s">
        <v>83</v>
      </c>
      <c r="C34" s="114">
        <v>18040000</v>
      </c>
      <c r="D34" s="150"/>
      <c r="E34" s="150"/>
      <c r="F34" s="156">
        <v>-42.88</v>
      </c>
      <c r="G34" s="150">
        <f t="shared" si="8"/>
        <v>-42.88</v>
      </c>
      <c r="H34" s="157"/>
      <c r="I34" s="158">
        <f t="shared" si="0"/>
        <v>-42.88</v>
      </c>
      <c r="J34" s="158"/>
      <c r="K34" s="158"/>
      <c r="L34" s="158"/>
      <c r="M34" s="158"/>
      <c r="N34" s="158">
        <v>-177.97</v>
      </c>
      <c r="O34" s="158">
        <f t="shared" si="13"/>
        <v>177.97</v>
      </c>
      <c r="P34" s="210">
        <f t="shared" si="14"/>
        <v>0</v>
      </c>
      <c r="Q34" s="158">
        <v>-175.07</v>
      </c>
      <c r="R34" s="158">
        <f t="shared" si="4"/>
        <v>132.19</v>
      </c>
      <c r="S34" s="210">
        <f t="shared" si="17"/>
        <v>0.2449305991888959</v>
      </c>
      <c r="T34" s="157">
        <f>E34-жовтень!E34</f>
        <v>0</v>
      </c>
      <c r="U34" s="160">
        <f>F34-жовтень!F34</f>
        <v>0.5799999999999983</v>
      </c>
      <c r="V34" s="161">
        <f t="shared" si="10"/>
        <v>0.5799999999999983</v>
      </c>
      <c r="W34" s="158"/>
      <c r="X34" s="363">
        <f t="shared" si="16"/>
        <v>0.2449305991888959</v>
      </c>
    </row>
    <row r="35" spans="1:24" s="6" customFormat="1" ht="18">
      <c r="A35" s="8"/>
      <c r="B35" s="44" t="s">
        <v>84</v>
      </c>
      <c r="C35" s="114">
        <v>18050000</v>
      </c>
      <c r="D35" s="162">
        <v>194394.1</v>
      </c>
      <c r="E35" s="162">
        <v>187755</v>
      </c>
      <c r="F35" s="163">
        <v>188707.9</v>
      </c>
      <c r="G35" s="150">
        <f t="shared" si="8"/>
        <v>952.8999999999942</v>
      </c>
      <c r="H35" s="157">
        <f t="shared" si="12"/>
        <v>100.50752310191473</v>
      </c>
      <c r="I35" s="158">
        <f t="shared" si="0"/>
        <v>-5686.200000000012</v>
      </c>
      <c r="J35" s="158">
        <f t="shared" si="1"/>
        <v>97.07491122415752</v>
      </c>
      <c r="K35" s="158"/>
      <c r="L35" s="158"/>
      <c r="M35" s="158"/>
      <c r="N35" s="158">
        <v>158268.6</v>
      </c>
      <c r="O35" s="158">
        <f t="shared" si="13"/>
        <v>36125.5</v>
      </c>
      <c r="P35" s="210">
        <f t="shared" si="14"/>
        <v>1.2282543726298205</v>
      </c>
      <c r="Q35" s="178">
        <v>128633.17</v>
      </c>
      <c r="R35" s="178">
        <f t="shared" si="4"/>
        <v>60074.729999999996</v>
      </c>
      <c r="S35" s="226">
        <f t="shared" si="17"/>
        <v>1.4670236300636919</v>
      </c>
      <c r="T35" s="157">
        <f>E35-жовтень!E35</f>
        <v>18700</v>
      </c>
      <c r="U35" s="160">
        <f>F35-жовтень!F35</f>
        <v>7849.389999999985</v>
      </c>
      <c r="V35" s="161">
        <f t="shared" si="10"/>
        <v>-10850.610000000015</v>
      </c>
      <c r="W35" s="158">
        <f t="shared" si="11"/>
        <v>41.9753475935828</v>
      </c>
      <c r="X35" s="363">
        <f t="shared" si="16"/>
        <v>0.23876925743387134</v>
      </c>
    </row>
    <row r="36" spans="1:24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3"/>
        <v>-0.23</v>
      </c>
      <c r="P36" s="109">
        <f t="shared" si="14"/>
        <v>0</v>
      </c>
      <c r="Q36" s="127">
        <v>0.23</v>
      </c>
      <c r="R36" s="127">
        <f t="shared" si="4"/>
        <v>-0.22</v>
      </c>
      <c r="S36" s="216">
        <f t="shared" si="17"/>
        <v>0.043478260869565216</v>
      </c>
      <c r="T36" s="105">
        <f>E36-жовтень!E36</f>
        <v>0</v>
      </c>
      <c r="U36" s="144">
        <f>F36-жовтень!F36</f>
        <v>0</v>
      </c>
      <c r="V36" s="106">
        <f t="shared" si="10"/>
        <v>0</v>
      </c>
      <c r="W36" s="104"/>
      <c r="X36" s="363">
        <f t="shared" si="16"/>
        <v>0.043478260869565216</v>
      </c>
    </row>
    <row r="37" spans="1:24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39500</v>
      </c>
      <c r="F37" s="140">
        <v>36445.64</v>
      </c>
      <c r="G37" s="103">
        <f>F37-E37</f>
        <v>-3054.3600000000006</v>
      </c>
      <c r="H37" s="105">
        <f t="shared" si="12"/>
        <v>92.26744303797469</v>
      </c>
      <c r="I37" s="104">
        <f t="shared" si="0"/>
        <v>-4554.360000000001</v>
      </c>
      <c r="J37" s="104">
        <f t="shared" si="1"/>
        <v>88.89180487804877</v>
      </c>
      <c r="K37" s="104"/>
      <c r="L37" s="104"/>
      <c r="M37" s="104"/>
      <c r="N37" s="104">
        <v>39173.72</v>
      </c>
      <c r="O37" s="104">
        <f t="shared" si="13"/>
        <v>1826.2799999999988</v>
      </c>
      <c r="P37" s="109">
        <f t="shared" si="14"/>
        <v>1.0466200299588602</v>
      </c>
      <c r="Q37" s="127">
        <v>31576.04</v>
      </c>
      <c r="R37" s="127">
        <f t="shared" si="4"/>
        <v>4869.5999999999985</v>
      </c>
      <c r="S37" s="216">
        <f t="shared" si="17"/>
        <v>1.1542181983554618</v>
      </c>
      <c r="T37" s="105">
        <f>E37-жовтень!E37</f>
        <v>4860</v>
      </c>
      <c r="U37" s="144">
        <f>F37-жовтень!F37</f>
        <v>1579.7699999999968</v>
      </c>
      <c r="V37" s="106">
        <f t="shared" si="10"/>
        <v>-3280.230000000003</v>
      </c>
      <c r="W37" s="104">
        <f>U37/T37*100</f>
        <v>32.50555555555549</v>
      </c>
      <c r="X37" s="363">
        <f t="shared" si="16"/>
        <v>0.10759816839660163</v>
      </c>
    </row>
    <row r="38" spans="1:24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148200</v>
      </c>
      <c r="F38" s="140">
        <v>152197.11</v>
      </c>
      <c r="G38" s="103">
        <f>F38-E38</f>
        <v>3997.109999999986</v>
      </c>
      <c r="H38" s="105">
        <f t="shared" si="12"/>
        <v>102.6971052631579</v>
      </c>
      <c r="I38" s="104">
        <f t="shared" si="0"/>
        <v>-1141.9900000000198</v>
      </c>
      <c r="J38" s="104">
        <f t="shared" si="1"/>
        <v>99.25525192204728</v>
      </c>
      <c r="K38" s="104"/>
      <c r="L38" s="104"/>
      <c r="M38" s="104"/>
      <c r="N38" s="104">
        <v>119039.46</v>
      </c>
      <c r="O38" s="104">
        <f t="shared" si="13"/>
        <v>34299.64</v>
      </c>
      <c r="P38" s="109">
        <f t="shared" si="14"/>
        <v>1.2881367237384982</v>
      </c>
      <c r="Q38" s="127">
        <v>97003.82</v>
      </c>
      <c r="R38" s="127">
        <f t="shared" si="4"/>
        <v>55193.28999999998</v>
      </c>
      <c r="S38" s="216">
        <f t="shared" si="17"/>
        <v>1.568980582414177</v>
      </c>
      <c r="T38" s="105">
        <f>E38-жовтень!E38</f>
        <v>13840</v>
      </c>
      <c r="U38" s="144">
        <f>F38-жовтень!F38</f>
        <v>6269.619999999995</v>
      </c>
      <c r="V38" s="106">
        <f t="shared" si="10"/>
        <v>-7570.380000000005</v>
      </c>
      <c r="W38" s="104">
        <f>U38/T38*100</f>
        <v>45.30072254335257</v>
      </c>
      <c r="X38" s="363">
        <f t="shared" si="16"/>
        <v>0.28084385867567874</v>
      </c>
    </row>
    <row r="39" spans="1:24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2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3"/>
        <v>-0.17999999999999972</v>
      </c>
      <c r="P39" s="109">
        <f t="shared" si="14"/>
        <v>0.9967379485320769</v>
      </c>
      <c r="Q39" s="127">
        <v>53.08</v>
      </c>
      <c r="R39" s="127">
        <f t="shared" si="4"/>
        <v>12.060000000000002</v>
      </c>
      <c r="S39" s="216">
        <f t="shared" si="17"/>
        <v>1.227204220045215</v>
      </c>
      <c r="T39" s="105">
        <f>E39-жовтень!E39</f>
        <v>0</v>
      </c>
      <c r="U39" s="144">
        <f>F39-жовтень!F39</f>
        <v>0</v>
      </c>
      <c r="V39" s="106">
        <f t="shared" si="10"/>
        <v>0</v>
      </c>
      <c r="W39" s="104"/>
      <c r="X39" s="363">
        <f t="shared" si="16"/>
        <v>0.23046627151313803</v>
      </c>
    </row>
    <row r="40" spans="1:24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4"/>
        <v>0</v>
      </c>
      <c r="S40" s="217"/>
      <c r="T40" s="137">
        <f>E40-жовтень!E40</f>
        <v>0</v>
      </c>
      <c r="U40" s="145">
        <f>F40-жовтень!F40</f>
        <v>0</v>
      </c>
      <c r="V40" s="161">
        <f t="shared" si="10"/>
        <v>0</v>
      </c>
      <c r="W40" s="37"/>
      <c r="X40" s="363">
        <f t="shared" si="16"/>
        <v>0</v>
      </c>
    </row>
    <row r="41" spans="1:24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54899.9</v>
      </c>
      <c r="F41" s="151">
        <f>F42+F43+F44+F45+F46+F48+F50+F51+F52+F53+F54+F59+F60+F64+F47+F49</f>
        <v>59722.42999999999</v>
      </c>
      <c r="G41" s="151">
        <f>G42+G43+G44+G45+G46+G48+G50+G51+G52+G53+G54+G59+G60+G64+G47+G49</f>
        <v>4822.529999999998</v>
      </c>
      <c r="H41" s="151">
        <f>F41/E41*100</f>
        <v>108.78422365068059</v>
      </c>
      <c r="I41" s="153">
        <f>F41-D41</f>
        <v>697.429999999993</v>
      </c>
      <c r="J41" s="153">
        <f>F41/D41*100</f>
        <v>101.18158407454467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4"/>
        <v>4704.69999999999</v>
      </c>
      <c r="S41" s="205">
        <f>F41/Q41</f>
        <v>1.0855124339008533</v>
      </c>
      <c r="T41" s="151">
        <f>T42+T43+T44+T45+T46+T48+T50+T51+T52+T53+T54+T59+T60+T64+T47+T49</f>
        <v>4685.8</v>
      </c>
      <c r="U41" s="151">
        <f>U42+U43+U44+U45+U46+U48+U50+U51+U52+U53+U54+U59+U60+U64+U47+U49</f>
        <v>3531.609999999999</v>
      </c>
      <c r="V41" s="151">
        <f>V42+V43+V44+V45+V46+V48+V50+V51+V52+V53+V54+V59+V60+V64</f>
        <v>-1154.1900000000012</v>
      </c>
      <c r="W41" s="151">
        <f>U41/T41*100</f>
        <v>75.36834692048315</v>
      </c>
      <c r="X41" s="363">
        <f t="shared" si="16"/>
        <v>0.2270004457136291</v>
      </c>
    </row>
    <row r="42" spans="1:24" s="6" customFormat="1" ht="46.5">
      <c r="A42" s="8"/>
      <c r="B42" s="225" t="s">
        <v>98</v>
      </c>
      <c r="C42" s="43">
        <v>21010301</v>
      </c>
      <c r="D42" s="150">
        <v>580</v>
      </c>
      <c r="E42" s="150">
        <v>580</v>
      </c>
      <c r="F42" s="156">
        <v>1723.37</v>
      </c>
      <c r="G42" s="150">
        <f aca="true" t="shared" si="18" ref="G42:G66">F42-E42</f>
        <v>1143.37</v>
      </c>
      <c r="H42" s="164">
        <f>F42/E42*100</f>
        <v>297.13275862068963</v>
      </c>
      <c r="I42" s="165">
        <f>F42-D42</f>
        <v>1143.37</v>
      </c>
      <c r="J42" s="165">
        <f>F42/D42*100</f>
        <v>297.13275862068963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4"/>
        <v>1238.54</v>
      </c>
      <c r="S42" s="218">
        <f>F42/Q42</f>
        <v>3.5545861435967243</v>
      </c>
      <c r="T42" s="157">
        <f>E42-жовтень!E42</f>
        <v>100</v>
      </c>
      <c r="U42" s="160">
        <f>F42-жовтень!F42</f>
        <v>50</v>
      </c>
      <c r="V42" s="161">
        <f aca="true" t="shared" si="19" ref="V42:V66">U42-T42</f>
        <v>-50</v>
      </c>
      <c r="W42" s="165">
        <f>U42/T42</f>
        <v>0.5</v>
      </c>
      <c r="X42" s="363">
        <f t="shared" si="16"/>
        <v>2.502030975187897</v>
      </c>
    </row>
    <row r="43" spans="1:24" s="6" customFormat="1" ht="30.75">
      <c r="A43" s="8"/>
      <c r="B43" s="129" t="s">
        <v>77</v>
      </c>
      <c r="C43" s="42">
        <v>21050000</v>
      </c>
      <c r="D43" s="150">
        <v>30000</v>
      </c>
      <c r="E43" s="150">
        <v>27700</v>
      </c>
      <c r="F43" s="156">
        <v>24690.14</v>
      </c>
      <c r="G43" s="150">
        <f t="shared" si="18"/>
        <v>-3009.8600000000006</v>
      </c>
      <c r="H43" s="164">
        <f aca="true" t="shared" si="20" ref="H43:H58">F43/E43*100</f>
        <v>89.13407942238267</v>
      </c>
      <c r="I43" s="165">
        <f aca="true" t="shared" si="21" ref="I43:I66">F43-D43</f>
        <v>-5309.860000000001</v>
      </c>
      <c r="J43" s="165">
        <f>F43/D43*100</f>
        <v>82.30046666666667</v>
      </c>
      <c r="K43" s="165"/>
      <c r="L43" s="165"/>
      <c r="M43" s="165"/>
      <c r="N43" s="165">
        <v>36136.57</v>
      </c>
      <c r="O43" s="165">
        <f aca="true" t="shared" si="22" ref="O43:O60">D43-N43</f>
        <v>-6136.57</v>
      </c>
      <c r="P43" s="218">
        <f aca="true" t="shared" si="23" ref="P43:P60">D43/N43</f>
        <v>0.8301839383206542</v>
      </c>
      <c r="Q43" s="165">
        <v>27670.12</v>
      </c>
      <c r="R43" s="165">
        <f t="shared" si="4"/>
        <v>-2979.9799999999996</v>
      </c>
      <c r="S43" s="218">
        <f aca="true" t="shared" si="24" ref="S43:S66">F43/Q43</f>
        <v>0.8923033221395498</v>
      </c>
      <c r="T43" s="157">
        <f>E43-жовтень!E43</f>
        <v>2800</v>
      </c>
      <c r="U43" s="160">
        <f>F43-жовтень!F43</f>
        <v>2176.119999999999</v>
      </c>
      <c r="V43" s="161">
        <f t="shared" si="19"/>
        <v>-623.880000000001</v>
      </c>
      <c r="W43" s="165">
        <f aca="true" t="shared" si="25" ref="W43:W65">U43/T43</f>
        <v>0.7771857142857139</v>
      </c>
      <c r="X43" s="363">
        <f t="shared" si="16"/>
        <v>0.06211938381889559</v>
      </c>
    </row>
    <row r="44" spans="1:24" s="6" customFormat="1" ht="18">
      <c r="A44" s="8"/>
      <c r="B44" s="129" t="s">
        <v>61</v>
      </c>
      <c r="C44" s="42">
        <v>21080500</v>
      </c>
      <c r="D44" s="150">
        <v>40</v>
      </c>
      <c r="E44" s="150">
        <v>27</v>
      </c>
      <c r="F44" s="156">
        <v>138.3</v>
      </c>
      <c r="G44" s="150">
        <f t="shared" si="18"/>
        <v>111.30000000000001</v>
      </c>
      <c r="H44" s="164">
        <f t="shared" si="20"/>
        <v>512.2222222222223</v>
      </c>
      <c r="I44" s="165">
        <f t="shared" si="21"/>
        <v>98.30000000000001</v>
      </c>
      <c r="J44" s="165">
        <f aca="true" t="shared" si="26" ref="J44:J65">F44/D44*100</f>
        <v>345.75000000000006</v>
      </c>
      <c r="K44" s="165"/>
      <c r="L44" s="165"/>
      <c r="M44" s="165"/>
      <c r="N44" s="165">
        <v>31.98</v>
      </c>
      <c r="O44" s="165">
        <f t="shared" si="22"/>
        <v>8.02</v>
      </c>
      <c r="P44" s="218">
        <f t="shared" si="23"/>
        <v>1.2507817385866167</v>
      </c>
      <c r="Q44" s="165">
        <v>31.98</v>
      </c>
      <c r="R44" s="165">
        <f t="shared" si="4"/>
        <v>106.32000000000001</v>
      </c>
      <c r="S44" s="218">
        <f t="shared" si="24"/>
        <v>4.3245778611632275</v>
      </c>
      <c r="T44" s="157">
        <f>E44-жовтень!E44</f>
        <v>1</v>
      </c>
      <c r="U44" s="160">
        <f>F44-жовтень!F44</f>
        <v>0</v>
      </c>
      <c r="V44" s="161">
        <f t="shared" si="19"/>
        <v>-1</v>
      </c>
      <c r="W44" s="165">
        <f t="shared" si="25"/>
        <v>0</v>
      </c>
      <c r="X44" s="363">
        <f t="shared" si="16"/>
        <v>3.073796122576611</v>
      </c>
    </row>
    <row r="45" spans="1:24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8"/>
        <v>12.95</v>
      </c>
      <c r="H45" s="164" t="e">
        <f t="shared" si="20"/>
        <v>#DIV/0!</v>
      </c>
      <c r="I45" s="165">
        <f t="shared" si="21"/>
        <v>12.95</v>
      </c>
      <c r="J45" s="165"/>
      <c r="K45" s="165"/>
      <c r="L45" s="165"/>
      <c r="M45" s="165"/>
      <c r="N45" s="165">
        <v>0.1</v>
      </c>
      <c r="O45" s="165">
        <f t="shared" si="22"/>
        <v>-0.1</v>
      </c>
      <c r="P45" s="218">
        <f t="shared" si="23"/>
        <v>0</v>
      </c>
      <c r="Q45" s="165">
        <v>0.1</v>
      </c>
      <c r="R45" s="165">
        <f t="shared" si="4"/>
        <v>12.85</v>
      </c>
      <c r="S45" s="218"/>
      <c r="T45" s="157">
        <f>E45-жовтень!E45</f>
        <v>0</v>
      </c>
      <c r="U45" s="160">
        <f>F45-жовтень!F45</f>
        <v>0</v>
      </c>
      <c r="V45" s="161">
        <f t="shared" si="19"/>
        <v>0</v>
      </c>
      <c r="W45" s="165"/>
      <c r="X45" s="363">
        <f t="shared" si="16"/>
        <v>0</v>
      </c>
    </row>
    <row r="46" spans="1:24" s="6" customFormat="1" ht="18">
      <c r="A46" s="8"/>
      <c r="B46" s="130" t="s">
        <v>16</v>
      </c>
      <c r="C46" s="72">
        <v>21081100</v>
      </c>
      <c r="D46" s="150">
        <v>260</v>
      </c>
      <c r="E46" s="150">
        <v>238</v>
      </c>
      <c r="F46" s="156">
        <v>643.99</v>
      </c>
      <c r="G46" s="150">
        <f t="shared" si="18"/>
        <v>405.99</v>
      </c>
      <c r="H46" s="164">
        <f t="shared" si="20"/>
        <v>270.5840336134454</v>
      </c>
      <c r="I46" s="165">
        <f t="shared" si="21"/>
        <v>383.99</v>
      </c>
      <c r="J46" s="165">
        <f t="shared" si="26"/>
        <v>247.68846153846152</v>
      </c>
      <c r="K46" s="165"/>
      <c r="L46" s="165"/>
      <c r="M46" s="165"/>
      <c r="N46" s="165">
        <v>241.07</v>
      </c>
      <c r="O46" s="165">
        <f t="shared" si="22"/>
        <v>18.930000000000007</v>
      </c>
      <c r="P46" s="218">
        <f t="shared" si="23"/>
        <v>1.0785249097772431</v>
      </c>
      <c r="Q46" s="165">
        <v>207.68</v>
      </c>
      <c r="R46" s="165">
        <f t="shared" si="4"/>
        <v>436.31</v>
      </c>
      <c r="S46" s="218">
        <f t="shared" si="24"/>
        <v>3.1008763482280433</v>
      </c>
      <c r="T46" s="157">
        <f>E46-жовтень!E46</f>
        <v>22</v>
      </c>
      <c r="U46" s="160">
        <f>F46-жовтень!F46</f>
        <v>0.9099999999999682</v>
      </c>
      <c r="V46" s="161">
        <f t="shared" si="19"/>
        <v>-21.090000000000032</v>
      </c>
      <c r="W46" s="165">
        <f t="shared" si="25"/>
        <v>0.041363636363634916</v>
      </c>
      <c r="X46" s="363">
        <f t="shared" si="16"/>
        <v>2.0223514384508</v>
      </c>
    </row>
    <row r="47" spans="1:24" s="6" customFormat="1" ht="46.5">
      <c r="A47" s="8"/>
      <c r="B47" s="349" t="s">
        <v>80</v>
      </c>
      <c r="C47" s="72">
        <v>21081500</v>
      </c>
      <c r="D47" s="150">
        <v>97.5</v>
      </c>
      <c r="E47" s="150">
        <v>88.4</v>
      </c>
      <c r="F47" s="156">
        <v>85.23</v>
      </c>
      <c r="G47" s="150">
        <f t="shared" si="18"/>
        <v>-3.1700000000000017</v>
      </c>
      <c r="H47" s="164">
        <f t="shared" si="20"/>
        <v>96.41402714932127</v>
      </c>
      <c r="I47" s="165">
        <f t="shared" si="21"/>
        <v>-12.269999999999996</v>
      </c>
      <c r="J47" s="165">
        <f t="shared" si="26"/>
        <v>87.41538461538461</v>
      </c>
      <c r="K47" s="165"/>
      <c r="L47" s="165"/>
      <c r="M47" s="165"/>
      <c r="N47" s="165">
        <v>86.37</v>
      </c>
      <c r="O47" s="165">
        <f t="shared" si="22"/>
        <v>11.129999999999995</v>
      </c>
      <c r="P47" s="218">
        <f t="shared" si="23"/>
        <v>1.1288641889544981</v>
      </c>
      <c r="Q47" s="165">
        <v>47.95</v>
      </c>
      <c r="R47" s="165">
        <f t="shared" si="4"/>
        <v>37.28</v>
      </c>
      <c r="S47" s="218">
        <f t="shared" si="24"/>
        <v>1.7774765380604796</v>
      </c>
      <c r="T47" s="157">
        <f>E47-жовтень!E47</f>
        <v>6.800000000000011</v>
      </c>
      <c r="U47" s="160">
        <f>F47-жовтень!F47</f>
        <v>6.799999999999997</v>
      </c>
      <c r="V47" s="161">
        <f t="shared" si="19"/>
        <v>-1.4210854715202004E-14</v>
      </c>
      <c r="W47" s="165">
        <f t="shared" si="25"/>
        <v>0.9999999999999979</v>
      </c>
      <c r="X47" s="363">
        <f t="shared" si="16"/>
        <v>0.6486123491059814</v>
      </c>
    </row>
    <row r="48" spans="1:24" s="6" customFormat="1" ht="30.75">
      <c r="A48" s="8"/>
      <c r="B48" s="349" t="s">
        <v>105</v>
      </c>
      <c r="C48" s="49">
        <v>22010300</v>
      </c>
      <c r="D48" s="150">
        <v>730</v>
      </c>
      <c r="E48" s="150">
        <v>710</v>
      </c>
      <c r="F48" s="156">
        <v>1029.66</v>
      </c>
      <c r="G48" s="150">
        <f t="shared" si="18"/>
        <v>319.6600000000001</v>
      </c>
      <c r="H48" s="164">
        <f t="shared" si="20"/>
        <v>145.0225352112676</v>
      </c>
      <c r="I48" s="165">
        <f t="shared" si="21"/>
        <v>299.6600000000001</v>
      </c>
      <c r="J48" s="165">
        <f t="shared" si="26"/>
        <v>141.04931506849317</v>
      </c>
      <c r="K48" s="165"/>
      <c r="L48" s="165"/>
      <c r="M48" s="165"/>
      <c r="N48" s="165">
        <v>791.33</v>
      </c>
      <c r="O48" s="165">
        <f t="shared" si="22"/>
        <v>-61.33000000000004</v>
      </c>
      <c r="P48" s="218">
        <f t="shared" si="23"/>
        <v>0.9224975673865518</v>
      </c>
      <c r="Q48" s="165">
        <v>531.02</v>
      </c>
      <c r="R48" s="165">
        <f t="shared" si="4"/>
        <v>498.6400000000001</v>
      </c>
      <c r="S48" s="218">
        <f t="shared" si="24"/>
        <v>1.9390230123159204</v>
      </c>
      <c r="T48" s="157">
        <f>E48-жовтень!E48</f>
        <v>10</v>
      </c>
      <c r="U48" s="160">
        <f>F48-жовтень!F48</f>
        <v>21.720000000000027</v>
      </c>
      <c r="V48" s="161">
        <f t="shared" si="19"/>
        <v>11.720000000000027</v>
      </c>
      <c r="W48" s="165">
        <f t="shared" si="25"/>
        <v>2.172000000000003</v>
      </c>
      <c r="X48" s="363">
        <f t="shared" si="16"/>
        <v>1.0165254449293686</v>
      </c>
    </row>
    <row r="49" spans="1:24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8"/>
        <v>23.38</v>
      </c>
      <c r="H49" s="164" t="e">
        <f t="shared" si="20"/>
        <v>#DIV/0!</v>
      </c>
      <c r="I49" s="165">
        <f t="shared" si="21"/>
        <v>23.38</v>
      </c>
      <c r="J49" s="165"/>
      <c r="K49" s="165"/>
      <c r="L49" s="165"/>
      <c r="M49" s="165"/>
      <c r="N49" s="165">
        <v>0</v>
      </c>
      <c r="O49" s="165">
        <f t="shared" si="22"/>
        <v>0</v>
      </c>
      <c r="P49" s="218" t="e">
        <f t="shared" si="23"/>
        <v>#DIV/0!</v>
      </c>
      <c r="Q49" s="165"/>
      <c r="R49" s="165">
        <f t="shared" si="4"/>
        <v>23.38</v>
      </c>
      <c r="S49" s="218"/>
      <c r="T49" s="157">
        <f>E49-жовтень!E49</f>
        <v>0</v>
      </c>
      <c r="U49" s="160">
        <f>F49-жовтень!F49</f>
        <v>0</v>
      </c>
      <c r="V49" s="161">
        <f t="shared" si="19"/>
        <v>0</v>
      </c>
      <c r="W49" s="165"/>
      <c r="X49" s="363" t="e">
        <f t="shared" si="16"/>
        <v>#DIV/0!</v>
      </c>
    </row>
    <row r="50" spans="1:24" s="6" customFormat="1" ht="18">
      <c r="A50" s="8"/>
      <c r="B50" s="355" t="s">
        <v>78</v>
      </c>
      <c r="C50" s="72">
        <v>22012500</v>
      </c>
      <c r="D50" s="150">
        <v>11000</v>
      </c>
      <c r="E50" s="150">
        <v>10300</v>
      </c>
      <c r="F50" s="156">
        <v>17003.01</v>
      </c>
      <c r="G50" s="150">
        <f t="shared" si="18"/>
        <v>6703.009999999998</v>
      </c>
      <c r="H50" s="164">
        <f t="shared" si="20"/>
        <v>165.07776699029125</v>
      </c>
      <c r="I50" s="165">
        <f t="shared" si="21"/>
        <v>6003.009999999998</v>
      </c>
      <c r="J50" s="165">
        <f t="shared" si="26"/>
        <v>154.57281818181815</v>
      </c>
      <c r="K50" s="165"/>
      <c r="L50" s="165"/>
      <c r="M50" s="165"/>
      <c r="N50" s="165">
        <v>11422.5</v>
      </c>
      <c r="O50" s="165">
        <f t="shared" si="22"/>
        <v>-422.5</v>
      </c>
      <c r="P50" s="218">
        <f t="shared" si="23"/>
        <v>0.9630115999124534</v>
      </c>
      <c r="Q50" s="165">
        <v>8876.24</v>
      </c>
      <c r="R50" s="165">
        <f t="shared" si="4"/>
        <v>8126.769999999999</v>
      </c>
      <c r="S50" s="218">
        <f t="shared" si="24"/>
        <v>1.915564473245428</v>
      </c>
      <c r="T50" s="157">
        <f>E50-жовтень!E50</f>
        <v>660</v>
      </c>
      <c r="U50" s="160">
        <f>F50-жовтень!F50</f>
        <v>501.9599999999991</v>
      </c>
      <c r="V50" s="161">
        <f t="shared" si="19"/>
        <v>-158.04000000000087</v>
      </c>
      <c r="W50" s="165">
        <f t="shared" si="25"/>
        <v>0.7605454545454532</v>
      </c>
      <c r="X50" s="363">
        <f t="shared" si="16"/>
        <v>0.9525528733329746</v>
      </c>
    </row>
    <row r="51" spans="1:24" s="6" customFormat="1" ht="31.5">
      <c r="A51" s="8"/>
      <c r="B51" s="355" t="s">
        <v>99</v>
      </c>
      <c r="C51" s="72">
        <v>22012600</v>
      </c>
      <c r="D51" s="150">
        <v>310</v>
      </c>
      <c r="E51" s="150">
        <v>285</v>
      </c>
      <c r="F51" s="156">
        <v>548.06</v>
      </c>
      <c r="G51" s="150">
        <f t="shared" si="18"/>
        <v>263.05999999999995</v>
      </c>
      <c r="H51" s="164">
        <f t="shared" si="20"/>
        <v>192.3017543859649</v>
      </c>
      <c r="I51" s="165">
        <f t="shared" si="21"/>
        <v>238.05999999999995</v>
      </c>
      <c r="J51" s="165">
        <f t="shared" si="26"/>
        <v>176.79354838709676</v>
      </c>
      <c r="K51" s="165"/>
      <c r="L51" s="165"/>
      <c r="M51" s="165"/>
      <c r="N51" s="165">
        <v>323.25</v>
      </c>
      <c r="O51" s="165">
        <f t="shared" si="22"/>
        <v>-13.25</v>
      </c>
      <c r="P51" s="218">
        <f t="shared" si="23"/>
        <v>0.9590100541376644</v>
      </c>
      <c r="Q51" s="165">
        <v>246.53</v>
      </c>
      <c r="R51" s="165">
        <f t="shared" si="4"/>
        <v>301.53</v>
      </c>
      <c r="S51" s="218">
        <f t="shared" si="24"/>
        <v>2.2230965805378653</v>
      </c>
      <c r="T51" s="157">
        <f>E51-жовтень!E51</f>
        <v>25</v>
      </c>
      <c r="U51" s="160">
        <f>F51-жовтень!F51</f>
        <v>17.09999999999991</v>
      </c>
      <c r="V51" s="161">
        <f t="shared" si="19"/>
        <v>-7.900000000000091</v>
      </c>
      <c r="W51" s="165">
        <f t="shared" si="25"/>
        <v>0.6839999999999964</v>
      </c>
      <c r="X51" s="363">
        <f t="shared" si="16"/>
        <v>1.264086526400201</v>
      </c>
    </row>
    <row r="52" spans="1:24" s="6" customFormat="1" ht="31.5">
      <c r="A52" s="8"/>
      <c r="B52" s="33" t="s">
        <v>106</v>
      </c>
      <c r="C52" s="72">
        <v>22012900</v>
      </c>
      <c r="D52" s="150">
        <v>20</v>
      </c>
      <c r="E52" s="150">
        <v>19</v>
      </c>
      <c r="F52" s="156">
        <v>30.88</v>
      </c>
      <c r="G52" s="150">
        <f t="shared" si="18"/>
        <v>11.879999999999999</v>
      </c>
      <c r="H52" s="164">
        <f t="shared" si="20"/>
        <v>162.52631578947367</v>
      </c>
      <c r="I52" s="165">
        <f t="shared" si="21"/>
        <v>10.879999999999999</v>
      </c>
      <c r="J52" s="165">
        <f t="shared" si="26"/>
        <v>154.4</v>
      </c>
      <c r="K52" s="165"/>
      <c r="L52" s="165"/>
      <c r="M52" s="165"/>
      <c r="N52" s="165">
        <v>22.36</v>
      </c>
      <c r="O52" s="165">
        <f t="shared" si="22"/>
        <v>-2.3599999999999994</v>
      </c>
      <c r="P52" s="218">
        <f t="shared" si="23"/>
        <v>0.8944543828264758</v>
      </c>
      <c r="Q52" s="165">
        <v>16.96</v>
      </c>
      <c r="R52" s="165">
        <f t="shared" si="4"/>
        <v>13.919999999999998</v>
      </c>
      <c r="S52" s="218">
        <f t="shared" si="24"/>
        <v>1.820754716981132</v>
      </c>
      <c r="T52" s="157">
        <f>E52-жовтень!E52</f>
        <v>1</v>
      </c>
      <c r="U52" s="160">
        <f>F52-жовтень!F52</f>
        <v>0</v>
      </c>
      <c r="V52" s="161">
        <f t="shared" si="19"/>
        <v>-1</v>
      </c>
      <c r="W52" s="165">
        <f t="shared" si="25"/>
        <v>0</v>
      </c>
      <c r="X52" s="363">
        <f t="shared" si="16"/>
        <v>0.9263003341546562</v>
      </c>
    </row>
    <row r="53" spans="1:24" s="6" customFormat="1" ht="30.75">
      <c r="A53" s="8"/>
      <c r="B53" s="130" t="s">
        <v>14</v>
      </c>
      <c r="C53" s="49">
        <v>22080400</v>
      </c>
      <c r="D53" s="150">
        <v>7275</v>
      </c>
      <c r="E53" s="150">
        <v>6670</v>
      </c>
      <c r="F53" s="156">
        <v>5925.6</v>
      </c>
      <c r="G53" s="150">
        <f t="shared" si="18"/>
        <v>-744.3999999999996</v>
      </c>
      <c r="H53" s="164">
        <f t="shared" si="20"/>
        <v>88.83958020989505</v>
      </c>
      <c r="I53" s="165">
        <f t="shared" si="21"/>
        <v>-1349.3999999999996</v>
      </c>
      <c r="J53" s="165">
        <f t="shared" si="26"/>
        <v>81.45154639175259</v>
      </c>
      <c r="K53" s="165"/>
      <c r="L53" s="165"/>
      <c r="M53" s="165"/>
      <c r="N53" s="165">
        <v>7230.43</v>
      </c>
      <c r="O53" s="165">
        <f t="shared" si="22"/>
        <v>44.56999999999971</v>
      </c>
      <c r="P53" s="218">
        <f t="shared" si="23"/>
        <v>1.0061642253641898</v>
      </c>
      <c r="Q53" s="165">
        <v>6193.94</v>
      </c>
      <c r="R53" s="165">
        <f t="shared" si="4"/>
        <v>-268.33999999999924</v>
      </c>
      <c r="S53" s="218">
        <f t="shared" si="24"/>
        <v>0.9566770101098817</v>
      </c>
      <c r="T53" s="157">
        <f>E53-жовтень!E53</f>
        <v>605</v>
      </c>
      <c r="U53" s="160">
        <f>F53-жовтень!F53</f>
        <v>517.4100000000008</v>
      </c>
      <c r="V53" s="161">
        <f t="shared" si="19"/>
        <v>-87.58999999999924</v>
      </c>
      <c r="W53" s="165">
        <f t="shared" si="25"/>
        <v>0.855223140495869</v>
      </c>
      <c r="X53" s="363">
        <f t="shared" si="16"/>
        <v>-0.0494872152543081</v>
      </c>
    </row>
    <row r="54" spans="1:24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1090</v>
      </c>
      <c r="F54" s="156">
        <v>726.94</v>
      </c>
      <c r="G54" s="150">
        <f t="shared" si="18"/>
        <v>-363.05999999999995</v>
      </c>
      <c r="H54" s="164">
        <f t="shared" si="20"/>
        <v>66.69174311926605</v>
      </c>
      <c r="I54" s="165">
        <f t="shared" si="21"/>
        <v>-473.05999999999995</v>
      </c>
      <c r="J54" s="165">
        <f t="shared" si="26"/>
        <v>60.57833333333333</v>
      </c>
      <c r="K54" s="165"/>
      <c r="L54" s="165"/>
      <c r="M54" s="165"/>
      <c r="N54" s="165">
        <v>5161.34</v>
      </c>
      <c r="O54" s="165">
        <f t="shared" si="22"/>
        <v>-3961.34</v>
      </c>
      <c r="P54" s="218">
        <f t="shared" si="23"/>
        <v>0.23249776220903873</v>
      </c>
      <c r="Q54" s="165">
        <v>5010.53</v>
      </c>
      <c r="R54" s="165">
        <f t="shared" si="4"/>
        <v>-4283.59</v>
      </c>
      <c r="S54" s="218">
        <f t="shared" si="24"/>
        <v>0.14508245634693337</v>
      </c>
      <c r="T54" s="157">
        <f>E54-жовтень!E54</f>
        <v>105</v>
      </c>
      <c r="U54" s="160">
        <f>F54-жовтень!F54</f>
        <v>20.210000000000036</v>
      </c>
      <c r="V54" s="161">
        <f t="shared" si="19"/>
        <v>-84.78999999999996</v>
      </c>
      <c r="W54" s="165">
        <f t="shared" si="25"/>
        <v>0.19247619047619083</v>
      </c>
      <c r="X54" s="363">
        <f t="shared" si="16"/>
        <v>-0.08741530586210536</v>
      </c>
    </row>
    <row r="55" spans="1:24" s="6" customFormat="1" ht="15" hidden="1">
      <c r="A55" s="8"/>
      <c r="B55" s="361" t="s">
        <v>97</v>
      </c>
      <c r="C55" s="123">
        <v>22090100</v>
      </c>
      <c r="D55" s="103">
        <v>998</v>
      </c>
      <c r="E55" s="103">
        <v>910</v>
      </c>
      <c r="F55" s="140">
        <v>611.88</v>
      </c>
      <c r="G55" s="103">
        <f t="shared" si="18"/>
        <v>-298.12</v>
      </c>
      <c r="H55" s="105">
        <f t="shared" si="20"/>
        <v>67.23956043956044</v>
      </c>
      <c r="I55" s="104">
        <f t="shared" si="21"/>
        <v>-386.12</v>
      </c>
      <c r="J55" s="104">
        <f t="shared" si="26"/>
        <v>61.31062124248498</v>
      </c>
      <c r="K55" s="104"/>
      <c r="L55" s="104"/>
      <c r="M55" s="104"/>
      <c r="N55" s="104">
        <v>835.21</v>
      </c>
      <c r="O55" s="104">
        <f t="shared" si="22"/>
        <v>162.78999999999996</v>
      </c>
      <c r="P55" s="109">
        <f t="shared" si="23"/>
        <v>1.1949090647861016</v>
      </c>
      <c r="Q55" s="104">
        <v>702.3</v>
      </c>
      <c r="R55" s="370">
        <f t="shared" si="4"/>
        <v>-90.41999999999996</v>
      </c>
      <c r="S55" s="371">
        <f t="shared" si="24"/>
        <v>0.8712516018795388</v>
      </c>
      <c r="T55" s="105">
        <f>E55-жовтень!E55</f>
        <v>90</v>
      </c>
      <c r="U55" s="144">
        <f>F55-жовтень!F55</f>
        <v>16.720000000000027</v>
      </c>
      <c r="V55" s="106">
        <f t="shared" si="19"/>
        <v>-73.27999999999997</v>
      </c>
      <c r="W55" s="104">
        <f t="shared" si="25"/>
        <v>0.18577777777777807</v>
      </c>
      <c r="X55" s="363">
        <f t="shared" si="16"/>
        <v>-0.32365746290656283</v>
      </c>
    </row>
    <row r="56" spans="1:24" s="6" customFormat="1" ht="15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0.18</v>
      </c>
      <c r="G56" s="103">
        <f t="shared" si="18"/>
        <v>0.18</v>
      </c>
      <c r="H56" s="105" t="e">
        <f t="shared" si="20"/>
        <v>#DIV/0!</v>
      </c>
      <c r="I56" s="104">
        <f t="shared" si="21"/>
        <v>-0.8200000000000001</v>
      </c>
      <c r="J56" s="104">
        <f t="shared" si="26"/>
        <v>18</v>
      </c>
      <c r="K56" s="104"/>
      <c r="L56" s="104"/>
      <c r="M56" s="104"/>
      <c r="N56" s="104">
        <v>0.38</v>
      </c>
      <c r="O56" s="104">
        <f t="shared" si="22"/>
        <v>0.62</v>
      </c>
      <c r="P56" s="109">
        <f t="shared" si="23"/>
        <v>2.6315789473684212</v>
      </c>
      <c r="Q56" s="104">
        <v>0.29</v>
      </c>
      <c r="R56" s="370">
        <f t="shared" si="4"/>
        <v>-0.10999999999999999</v>
      </c>
      <c r="S56" s="371">
        <f t="shared" si="24"/>
        <v>0.6206896551724138</v>
      </c>
      <c r="T56" s="105">
        <f>E56-жовтень!E56</f>
        <v>0</v>
      </c>
      <c r="U56" s="144">
        <f>F56-жовтень!F56</f>
        <v>0.009999999999999981</v>
      </c>
      <c r="V56" s="106">
        <f t="shared" si="19"/>
        <v>0.009999999999999981</v>
      </c>
      <c r="W56" s="104"/>
      <c r="X56" s="363">
        <f t="shared" si="16"/>
        <v>-2.0108892921960075</v>
      </c>
    </row>
    <row r="57" spans="1:24" s="6" customFormat="1" ht="15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8"/>
        <v>0</v>
      </c>
      <c r="H57" s="105" t="e">
        <f t="shared" si="20"/>
        <v>#DIV/0!</v>
      </c>
      <c r="I57" s="104">
        <f t="shared" si="21"/>
        <v>-1</v>
      </c>
      <c r="J57" s="104">
        <f t="shared" si="26"/>
        <v>0</v>
      </c>
      <c r="K57" s="104"/>
      <c r="L57" s="104"/>
      <c r="M57" s="104"/>
      <c r="N57" s="104">
        <v>0.02</v>
      </c>
      <c r="O57" s="104">
        <f t="shared" si="22"/>
        <v>0.98</v>
      </c>
      <c r="P57" s="109">
        <f t="shared" si="23"/>
        <v>50</v>
      </c>
      <c r="Q57" s="104">
        <v>0.02</v>
      </c>
      <c r="R57" s="370">
        <f t="shared" si="4"/>
        <v>-0.02</v>
      </c>
      <c r="S57" s="371">
        <f t="shared" si="24"/>
        <v>0</v>
      </c>
      <c r="T57" s="105">
        <f>E57-жовтень!E57</f>
        <v>0</v>
      </c>
      <c r="U57" s="144">
        <f>F57-жовтень!F57</f>
        <v>0</v>
      </c>
      <c r="V57" s="106">
        <f t="shared" si="19"/>
        <v>0</v>
      </c>
      <c r="W57" s="104"/>
      <c r="X57" s="363">
        <f t="shared" si="16"/>
        <v>-50</v>
      </c>
    </row>
    <row r="58" spans="1:24" s="6" customFormat="1" ht="15" hidden="1">
      <c r="A58" s="8"/>
      <c r="B58" s="361" t="s">
        <v>96</v>
      </c>
      <c r="C58" s="123">
        <v>22090400</v>
      </c>
      <c r="D58" s="103">
        <v>200</v>
      </c>
      <c r="E58" s="103">
        <v>180</v>
      </c>
      <c r="F58" s="140">
        <v>114.88</v>
      </c>
      <c r="G58" s="103">
        <f t="shared" si="18"/>
        <v>-65.12</v>
      </c>
      <c r="H58" s="105">
        <f t="shared" si="20"/>
        <v>63.82222222222222</v>
      </c>
      <c r="I58" s="104">
        <f t="shared" si="21"/>
        <v>-85.12</v>
      </c>
      <c r="J58" s="104">
        <f t="shared" si="26"/>
        <v>57.440000000000005</v>
      </c>
      <c r="K58" s="104"/>
      <c r="L58" s="104"/>
      <c r="M58" s="104"/>
      <c r="N58" s="104">
        <v>4325.74</v>
      </c>
      <c r="O58" s="104">
        <f t="shared" si="22"/>
        <v>-4125.74</v>
      </c>
      <c r="P58" s="109">
        <f t="shared" si="23"/>
        <v>0.04623486386144336</v>
      </c>
      <c r="Q58" s="104">
        <v>4307.92</v>
      </c>
      <c r="R58" s="370">
        <f t="shared" si="4"/>
        <v>-4193.04</v>
      </c>
      <c r="S58" s="371">
        <f t="shared" si="24"/>
        <v>0.026667161878586417</v>
      </c>
      <c r="T58" s="105">
        <f>E58-жовтень!E58</f>
        <v>15</v>
      </c>
      <c r="U58" s="144">
        <f>F58-жовтень!F58</f>
        <v>3.4799999999999898</v>
      </c>
      <c r="V58" s="106">
        <f t="shared" si="19"/>
        <v>-11.52000000000001</v>
      </c>
      <c r="W58" s="104">
        <f t="shared" si="25"/>
        <v>0.23199999999999932</v>
      </c>
      <c r="X58" s="363">
        <f t="shared" si="16"/>
        <v>-0.019567701982856945</v>
      </c>
    </row>
    <row r="59" spans="1:24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8"/>
        <v>-0.45999999999999996</v>
      </c>
      <c r="H59" s="164">
        <f>F59/E59*100</f>
        <v>81.60000000000001</v>
      </c>
      <c r="I59" s="165">
        <f t="shared" si="21"/>
        <v>-0.45999999999999996</v>
      </c>
      <c r="J59" s="165">
        <f t="shared" si="26"/>
        <v>81.60000000000001</v>
      </c>
      <c r="K59" s="165"/>
      <c r="L59" s="165"/>
      <c r="M59" s="165"/>
      <c r="N59" s="165">
        <v>2.46</v>
      </c>
      <c r="O59" s="165">
        <f t="shared" si="22"/>
        <v>0.040000000000000036</v>
      </c>
      <c r="P59" s="218">
        <f t="shared" si="23"/>
        <v>1.016260162601626</v>
      </c>
      <c r="Q59" s="165">
        <v>2.46</v>
      </c>
      <c r="R59" s="165">
        <f t="shared" si="4"/>
        <v>-0.41999999999999993</v>
      </c>
      <c r="S59" s="218">
        <f t="shared" si="24"/>
        <v>0.8292682926829269</v>
      </c>
      <c r="T59" s="157">
        <f>E59-жовтень!E59</f>
        <v>0</v>
      </c>
      <c r="U59" s="160">
        <f>F59-серпень!F59</f>
        <v>0</v>
      </c>
      <c r="V59" s="161">
        <f t="shared" si="19"/>
        <v>0</v>
      </c>
      <c r="W59" s="165"/>
      <c r="X59" s="363">
        <f t="shared" si="16"/>
        <v>-0.1869918699186992</v>
      </c>
    </row>
    <row r="60" spans="1:24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7100</v>
      </c>
      <c r="F60" s="156">
        <v>6998.5</v>
      </c>
      <c r="G60" s="150">
        <f t="shared" si="18"/>
        <v>-101.5</v>
      </c>
      <c r="H60" s="164">
        <f aca="true" t="shared" si="27" ref="H60:H66">F60/E60*100</f>
        <v>98.57042253521126</v>
      </c>
      <c r="I60" s="165">
        <f t="shared" si="21"/>
        <v>-351.5</v>
      </c>
      <c r="J60" s="165">
        <f t="shared" si="26"/>
        <v>95.21768707482993</v>
      </c>
      <c r="K60" s="165"/>
      <c r="L60" s="165"/>
      <c r="M60" s="165"/>
      <c r="N60" s="165">
        <v>6525.16</v>
      </c>
      <c r="O60" s="165">
        <f t="shared" si="22"/>
        <v>824.8400000000001</v>
      </c>
      <c r="P60" s="218">
        <f t="shared" si="23"/>
        <v>1.1264091608481632</v>
      </c>
      <c r="Q60" s="165">
        <v>5538.46</v>
      </c>
      <c r="R60" s="165">
        <f t="shared" si="4"/>
        <v>1460.04</v>
      </c>
      <c r="S60" s="218">
        <f t="shared" si="24"/>
        <v>1.2636184065606684</v>
      </c>
      <c r="T60" s="157">
        <f>E60-жовтень!E60</f>
        <v>350</v>
      </c>
      <c r="U60" s="160">
        <f>F60-жовтень!F60</f>
        <v>198.57999999999993</v>
      </c>
      <c r="V60" s="161">
        <f t="shared" si="19"/>
        <v>-151.42000000000007</v>
      </c>
      <c r="W60" s="165">
        <f t="shared" si="25"/>
        <v>0.5673714285714284</v>
      </c>
      <c r="X60" s="363">
        <f t="shared" si="16"/>
        <v>0.13720924571250515</v>
      </c>
    </row>
    <row r="61" spans="1:24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8"/>
        <v>0</v>
      </c>
      <c r="H61" s="164" t="e">
        <f t="shared" si="27"/>
        <v>#DIV/0!</v>
      </c>
      <c r="I61" s="165">
        <f t="shared" si="21"/>
        <v>0</v>
      </c>
      <c r="J61" s="165" t="e">
        <f t="shared" si="26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4"/>
        <v>0</v>
      </c>
      <c r="S61" s="218" t="e">
        <f t="shared" si="24"/>
        <v>#DIV/0!</v>
      </c>
      <c r="T61" s="157">
        <f>E61-серпень!E61</f>
        <v>0</v>
      </c>
      <c r="U61" s="160">
        <f>F61-серпень!F61</f>
        <v>0</v>
      </c>
      <c r="V61" s="161">
        <f t="shared" si="19"/>
        <v>0</v>
      </c>
      <c r="W61" s="165" t="e">
        <f t="shared" si="25"/>
        <v>#DIV/0!</v>
      </c>
      <c r="X61" s="363" t="e">
        <f t="shared" si="16"/>
        <v>#DIV/0!</v>
      </c>
    </row>
    <row r="62" spans="1:24" s="6" customFormat="1" ht="30.75">
      <c r="A62" s="8"/>
      <c r="B62" s="50" t="s">
        <v>42</v>
      </c>
      <c r="C62" s="61"/>
      <c r="D62" s="103"/>
      <c r="E62" s="103"/>
      <c r="F62" s="201">
        <v>1826.73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/>
      <c r="S62" s="305">
        <f t="shared" si="24"/>
        <v>1.606806407065012</v>
      </c>
      <c r="T62" s="157"/>
      <c r="U62" s="179">
        <f>F62-жовтень!F62</f>
        <v>53.51999999999998</v>
      </c>
      <c r="V62" s="166">
        <f t="shared" si="19"/>
        <v>53.51999999999998</v>
      </c>
      <c r="W62" s="165"/>
      <c r="X62" s="363"/>
    </row>
    <row r="63" spans="1:24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8"/>
        <v>0</v>
      </c>
      <c r="H63" s="164" t="e">
        <f t="shared" si="27"/>
        <v>#DIV/0!</v>
      </c>
      <c r="I63" s="165">
        <f t="shared" si="21"/>
        <v>0</v>
      </c>
      <c r="J63" s="165" t="e">
        <f t="shared" si="26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4"/>
        <v>0</v>
      </c>
      <c r="S63" s="218" t="e">
        <f t="shared" si="24"/>
        <v>#DIV/0!</v>
      </c>
      <c r="T63" s="157">
        <f>E63-серпень!E63</f>
        <v>0</v>
      </c>
      <c r="U63" s="160">
        <f>F63-серпень!F63</f>
        <v>0</v>
      </c>
      <c r="V63" s="161">
        <f t="shared" si="19"/>
        <v>0</v>
      </c>
      <c r="W63" s="165" t="e">
        <f t="shared" si="25"/>
        <v>#DIV/0!</v>
      </c>
      <c r="X63" s="363" t="e">
        <f t="shared" si="16"/>
        <v>#DIV/0!</v>
      </c>
    </row>
    <row r="64" spans="1:24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140.38</v>
      </c>
      <c r="G64" s="150">
        <f t="shared" si="18"/>
        <v>50.379999999999995</v>
      </c>
      <c r="H64" s="164">
        <f t="shared" si="27"/>
        <v>155.97777777777776</v>
      </c>
      <c r="I64" s="165">
        <f t="shared" si="21"/>
        <v>-19.620000000000005</v>
      </c>
      <c r="J64" s="165">
        <f t="shared" si="26"/>
        <v>87.7375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4"/>
        <v>-18.55000000000001</v>
      </c>
      <c r="S64" s="218">
        <f t="shared" si="24"/>
        <v>0.8832819480274334</v>
      </c>
      <c r="T64" s="157">
        <f>E64-жовтень!E64</f>
        <v>0</v>
      </c>
      <c r="U64" s="160">
        <f>F64-жовтень!F64</f>
        <v>20.799999999999997</v>
      </c>
      <c r="V64" s="161">
        <f t="shared" si="19"/>
        <v>20.799999999999997</v>
      </c>
      <c r="W64" s="165" t="e">
        <f t="shared" si="25"/>
        <v>#DIV/0!</v>
      </c>
      <c r="X64" s="363">
        <f t="shared" si="16"/>
        <v>0.1775656459808561</v>
      </c>
    </row>
    <row r="65" spans="1:24" s="6" customFormat="1" ht="30.75">
      <c r="A65" s="8"/>
      <c r="B65" s="131" t="s">
        <v>44</v>
      </c>
      <c r="C65" s="43">
        <v>31010200</v>
      </c>
      <c r="D65" s="150">
        <v>15</v>
      </c>
      <c r="E65" s="150">
        <v>13.8</v>
      </c>
      <c r="F65" s="156">
        <v>34.22</v>
      </c>
      <c r="G65" s="150">
        <f t="shared" si="18"/>
        <v>20.419999999999998</v>
      </c>
      <c r="H65" s="164">
        <f t="shared" si="27"/>
        <v>247.9710144927536</v>
      </c>
      <c r="I65" s="165">
        <f t="shared" si="21"/>
        <v>19.22</v>
      </c>
      <c r="J65" s="165">
        <f t="shared" si="26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4"/>
        <v>20.7</v>
      </c>
      <c r="S65" s="218">
        <f t="shared" si="24"/>
        <v>2.5310650887573964</v>
      </c>
      <c r="T65" s="157">
        <f>E65-жовтень!E65</f>
        <v>1.200000000000001</v>
      </c>
      <c r="U65" s="160">
        <f>F65-жовтень!F65</f>
        <v>0</v>
      </c>
      <c r="V65" s="161">
        <f t="shared" si="19"/>
        <v>-1.200000000000001</v>
      </c>
      <c r="W65" s="165">
        <f t="shared" si="25"/>
        <v>0</v>
      </c>
      <c r="X65" s="363">
        <f t="shared" si="16"/>
        <v>1.4215976331360947</v>
      </c>
    </row>
    <row r="66" spans="1:24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</v>
      </c>
      <c r="G66" s="150">
        <f t="shared" si="18"/>
        <v>-5</v>
      </c>
      <c r="H66" s="164" t="e">
        <f t="shared" si="27"/>
        <v>#DIV/0!</v>
      </c>
      <c r="I66" s="165">
        <f t="shared" si="21"/>
        <v>-5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4"/>
        <v>-6.02</v>
      </c>
      <c r="S66" s="218">
        <f t="shared" si="24"/>
        <v>-4.901960784313726</v>
      </c>
      <c r="T66" s="157">
        <f>E66-жовтень!E66</f>
        <v>0</v>
      </c>
      <c r="U66" s="160">
        <f>F66-жовтень!F66</f>
        <v>0.03000000000000025</v>
      </c>
      <c r="V66" s="161">
        <f t="shared" si="19"/>
        <v>0.03000000000000025</v>
      </c>
      <c r="W66" s="165"/>
      <c r="X66" s="363">
        <f t="shared" si="16"/>
        <v>-4.901960784313726</v>
      </c>
    </row>
    <row r="67" spans="1:24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1233933.3</v>
      </c>
      <c r="F67" s="151">
        <f>F8+F41+F65+F66</f>
        <v>1167294.97</v>
      </c>
      <c r="G67" s="151">
        <f>F67-E67</f>
        <v>-66638.33000000007</v>
      </c>
      <c r="H67" s="152">
        <f>F67/E67*100</f>
        <v>94.59951927709544</v>
      </c>
      <c r="I67" s="153">
        <f>F67-D67</f>
        <v>-190196.13000000012</v>
      </c>
      <c r="J67" s="153">
        <f>F67/D67*100</f>
        <v>85.98914350156697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803163.42</v>
      </c>
      <c r="R67" s="153">
        <f>F67-Q67</f>
        <v>364131.54999999993</v>
      </c>
      <c r="S67" s="219">
        <f>F67/Q67</f>
        <v>1.4533716811953412</v>
      </c>
      <c r="T67" s="151">
        <f>T8+T41+T65+T66</f>
        <v>119162</v>
      </c>
      <c r="U67" s="151">
        <f>U8+U41+U65+U66</f>
        <v>35250.81999999999</v>
      </c>
      <c r="V67" s="194">
        <f>U67-T67</f>
        <v>-83911.18000000001</v>
      </c>
      <c r="W67" s="153">
        <f>U67/T67*100</f>
        <v>29.58226615867474</v>
      </c>
      <c r="X67" s="363">
        <f t="shared" si="16"/>
        <v>0.16490320605885023</v>
      </c>
    </row>
    <row r="68" spans="1:24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63">
        <f t="shared" si="16"/>
        <v>0</v>
      </c>
    </row>
    <row r="69" spans="1:24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63">
        <f t="shared" si="16"/>
        <v>0</v>
      </c>
    </row>
    <row r="70" spans="1:24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63">
        <f t="shared" si="16"/>
        <v>0</v>
      </c>
    </row>
    <row r="71" spans="2:24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63">
        <f t="shared" si="16"/>
        <v>0</v>
      </c>
    </row>
    <row r="72" spans="2:24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0.01</v>
      </c>
      <c r="R72" s="167">
        <f>F72-Q72</f>
        <v>0</v>
      </c>
      <c r="S72" s="209">
        <f>F72/Q72</f>
        <v>1</v>
      </c>
      <c r="T72" s="162">
        <f>E72-квітень!E72</f>
        <v>0</v>
      </c>
      <c r="U72" s="182">
        <f>F72-квітень!F72</f>
        <v>0</v>
      </c>
      <c r="V72" s="167"/>
      <c r="W72" s="167"/>
      <c r="X72" s="363">
        <f t="shared" si="16"/>
        <v>1</v>
      </c>
    </row>
    <row r="73" spans="2:24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E73-жовтень!E73</f>
        <v>0</v>
      </c>
      <c r="U73" s="160">
        <f>F73-жовтень!F73</f>
        <v>0</v>
      </c>
      <c r="V73" s="167">
        <f>U73-T73</f>
        <v>0</v>
      </c>
      <c r="W73" s="167"/>
      <c r="X73" s="363">
        <f t="shared" si="16"/>
        <v>0.2590775269872424</v>
      </c>
    </row>
    <row r="74" spans="2:24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10.18</v>
      </c>
      <c r="R74" s="187">
        <f aca="true" t="shared" si="28" ref="R74:R86">F74-Q74</f>
        <v>-12.81</v>
      </c>
      <c r="S74" s="214">
        <f aca="true" t="shared" si="29" ref="S74:S89">F74/Q74</f>
        <v>-0.25834970530451873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63">
        <f t="shared" si="16"/>
        <v>-0.25834970530451873</v>
      </c>
    </row>
    <row r="75" spans="2:24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0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1" ref="O75:O86">D75-N75</f>
        <v>0</v>
      </c>
      <c r="P75" s="214" t="e">
        <f aca="true" t="shared" si="32" ref="P75:P86">D75/N75</f>
        <v>#DIV/0!</v>
      </c>
      <c r="Q75" s="187">
        <v>0</v>
      </c>
      <c r="R75" s="187">
        <f t="shared" si="28"/>
        <v>35.57</v>
      </c>
      <c r="S75" s="209"/>
      <c r="T75" s="186">
        <f>E75-жовтень!E75</f>
        <v>0</v>
      </c>
      <c r="U75" s="289">
        <f>F75-жовтень!F75</f>
        <v>0</v>
      </c>
      <c r="V75" s="187">
        <f aca="true" t="shared" si="33" ref="V75:V86">U75-T75</f>
        <v>0</v>
      </c>
      <c r="W75" s="187"/>
      <c r="X75" s="363"/>
    </row>
    <row r="76" spans="2:24" ht="31.5">
      <c r="B76" s="23" t="s">
        <v>29</v>
      </c>
      <c r="C76" s="73">
        <v>31030000</v>
      </c>
      <c r="D76" s="180">
        <v>100811.04</v>
      </c>
      <c r="E76" s="180">
        <v>79505.01</v>
      </c>
      <c r="F76" s="181">
        <v>938.04</v>
      </c>
      <c r="G76" s="162">
        <f t="shared" si="30"/>
        <v>-78566.97</v>
      </c>
      <c r="H76" s="164">
        <f>F76/E76*100</f>
        <v>1.1798501754795074</v>
      </c>
      <c r="I76" s="167">
        <f>F76-D76</f>
        <v>-99873</v>
      </c>
      <c r="J76" s="167">
        <f>F76/D76*100</f>
        <v>0.9304933269213371</v>
      </c>
      <c r="K76" s="167"/>
      <c r="L76" s="167"/>
      <c r="M76" s="167"/>
      <c r="N76" s="167">
        <v>4618.99</v>
      </c>
      <c r="O76" s="167">
        <f t="shared" si="31"/>
        <v>96192.04999999999</v>
      </c>
      <c r="P76" s="209">
        <f t="shared" si="32"/>
        <v>21.825342769739706</v>
      </c>
      <c r="Q76" s="167">
        <v>2052.2</v>
      </c>
      <c r="R76" s="167">
        <f t="shared" si="28"/>
        <v>-1114.1599999999999</v>
      </c>
      <c r="S76" s="209">
        <f t="shared" si="29"/>
        <v>0.4570899522463698</v>
      </c>
      <c r="T76" s="157">
        <f>E76-жовтень!E76</f>
        <v>20855.899999999994</v>
      </c>
      <c r="U76" s="160">
        <f>F76-жовтень!F76</f>
        <v>0.009999999999990905</v>
      </c>
      <c r="V76" s="167">
        <f t="shared" si="33"/>
        <v>-20855.889999999996</v>
      </c>
      <c r="W76" s="167">
        <f>U76/T76*100</f>
        <v>4.7948062658484686E-05</v>
      </c>
      <c r="X76" s="363">
        <f t="shared" si="16"/>
        <v>-21.368252817493335</v>
      </c>
    </row>
    <row r="77" spans="2:24" ht="18">
      <c r="B77" s="23" t="s">
        <v>30</v>
      </c>
      <c r="C77" s="73">
        <v>33010000</v>
      </c>
      <c r="D77" s="180">
        <f>8000+46000</f>
        <v>54000</v>
      </c>
      <c r="E77" s="180">
        <v>33630</v>
      </c>
      <c r="F77" s="181">
        <v>7626.13</v>
      </c>
      <c r="G77" s="162">
        <f t="shared" si="30"/>
        <v>-26003.87</v>
      </c>
      <c r="H77" s="164">
        <f>F77/E77*100</f>
        <v>22.67656853999405</v>
      </c>
      <c r="I77" s="167">
        <f aca="true" t="shared" si="34" ref="I77:I86">F77-D77</f>
        <v>-46373.87</v>
      </c>
      <c r="J77" s="167">
        <f>F77/D77*100</f>
        <v>14.122462962962965</v>
      </c>
      <c r="K77" s="167"/>
      <c r="L77" s="167"/>
      <c r="M77" s="167"/>
      <c r="N77" s="167">
        <v>10435.77</v>
      </c>
      <c r="O77" s="167">
        <f t="shared" si="31"/>
        <v>43564.229999999996</v>
      </c>
      <c r="P77" s="209">
        <f t="shared" si="32"/>
        <v>5.174510361956999</v>
      </c>
      <c r="Q77" s="167">
        <v>7241.5</v>
      </c>
      <c r="R77" s="167">
        <f t="shared" si="28"/>
        <v>384.6300000000001</v>
      </c>
      <c r="S77" s="209">
        <f t="shared" si="29"/>
        <v>1.0531146861838017</v>
      </c>
      <c r="T77" s="157">
        <f>E77-жовтень!E77</f>
        <v>3600</v>
      </c>
      <c r="U77" s="160">
        <f>F77-жовтень!F77</f>
        <v>42.93000000000029</v>
      </c>
      <c r="V77" s="167">
        <f t="shared" si="33"/>
        <v>-3557.0699999999997</v>
      </c>
      <c r="W77" s="167">
        <f>U77/T77*100</f>
        <v>1.192500000000008</v>
      </c>
      <c r="X77" s="363">
        <f t="shared" si="16"/>
        <v>-4.121395675773197</v>
      </c>
    </row>
    <row r="78" spans="2:24" ht="31.5">
      <c r="B78" s="23" t="s">
        <v>54</v>
      </c>
      <c r="C78" s="73">
        <v>24170000</v>
      </c>
      <c r="D78" s="180">
        <f>10000+69000</f>
        <v>79000</v>
      </c>
      <c r="E78" s="180">
        <v>55300</v>
      </c>
      <c r="F78" s="181">
        <v>14889.31</v>
      </c>
      <c r="G78" s="162">
        <f t="shared" si="30"/>
        <v>-40410.69</v>
      </c>
      <c r="H78" s="164">
        <f>F78/E78*100</f>
        <v>26.924611211573236</v>
      </c>
      <c r="I78" s="167">
        <f t="shared" si="34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1"/>
        <v>66406.81</v>
      </c>
      <c r="P78" s="209">
        <f t="shared" si="32"/>
        <v>6.273231802267733</v>
      </c>
      <c r="Q78" s="167">
        <v>12246.75</v>
      </c>
      <c r="R78" s="167">
        <f t="shared" si="28"/>
        <v>2642.5599999999995</v>
      </c>
      <c r="S78" s="209">
        <f t="shared" si="29"/>
        <v>1.2157764304815564</v>
      </c>
      <c r="T78" s="157">
        <f>E78-жовтень!E78</f>
        <v>23700</v>
      </c>
      <c r="U78" s="160">
        <f>F78-жовтень!F78</f>
        <v>0</v>
      </c>
      <c r="V78" s="167">
        <f t="shared" si="33"/>
        <v>-23700</v>
      </c>
      <c r="W78" s="167">
        <f>U78/T78*100</f>
        <v>0</v>
      </c>
      <c r="X78" s="363">
        <f t="shared" si="16"/>
        <v>-5.057455371786177</v>
      </c>
    </row>
    <row r="79" spans="2:24" ht="18">
      <c r="B79" s="23" t="s">
        <v>101</v>
      </c>
      <c r="C79" s="73">
        <v>24110700</v>
      </c>
      <c r="D79" s="180">
        <v>12</v>
      </c>
      <c r="E79" s="180">
        <v>11</v>
      </c>
      <c r="F79" s="181">
        <v>13</v>
      </c>
      <c r="G79" s="162">
        <f t="shared" si="30"/>
        <v>2</v>
      </c>
      <c r="H79" s="164">
        <f>F79/E79*100</f>
        <v>118.18181818181819</v>
      </c>
      <c r="I79" s="167">
        <f t="shared" si="34"/>
        <v>1</v>
      </c>
      <c r="J79" s="167">
        <f>F79/D79*100</f>
        <v>108.33333333333333</v>
      </c>
      <c r="K79" s="167"/>
      <c r="L79" s="167"/>
      <c r="M79" s="167"/>
      <c r="N79" s="167">
        <v>13</v>
      </c>
      <c r="O79" s="167">
        <f t="shared" si="31"/>
        <v>-1</v>
      </c>
      <c r="P79" s="209">
        <f t="shared" si="32"/>
        <v>0.9230769230769231</v>
      </c>
      <c r="Q79" s="167">
        <v>11</v>
      </c>
      <c r="R79" s="167">
        <f t="shared" si="28"/>
        <v>2</v>
      </c>
      <c r="S79" s="209">
        <f t="shared" si="29"/>
        <v>1.1818181818181819</v>
      </c>
      <c r="T79" s="157">
        <f>E79-жовтень!E79</f>
        <v>1</v>
      </c>
      <c r="U79" s="160">
        <f>F79-жовтень!F79</f>
        <v>1</v>
      </c>
      <c r="V79" s="167">
        <f t="shared" si="33"/>
        <v>0</v>
      </c>
      <c r="W79" s="167">
        <f>U79/T79*100</f>
        <v>100</v>
      </c>
      <c r="X79" s="363">
        <f t="shared" si="16"/>
        <v>0.25874125874125875</v>
      </c>
    </row>
    <row r="80" spans="2:24" ht="33">
      <c r="B80" s="28" t="s">
        <v>51</v>
      </c>
      <c r="C80" s="65"/>
      <c r="D80" s="183">
        <f>D76+D77+D78+D79</f>
        <v>233823.03999999998</v>
      </c>
      <c r="E80" s="183">
        <f>E76+E77+E78+E79</f>
        <v>168446.01</v>
      </c>
      <c r="F80" s="184">
        <f>F76+F77+F78+F79</f>
        <v>23466.48</v>
      </c>
      <c r="G80" s="185">
        <f t="shared" si="30"/>
        <v>-144979.53</v>
      </c>
      <c r="H80" s="186">
        <f>F80/E80*100</f>
        <v>13.931158120040955</v>
      </c>
      <c r="I80" s="187">
        <f t="shared" si="34"/>
        <v>-210356.55999999997</v>
      </c>
      <c r="J80" s="187">
        <f>F80/D80*100</f>
        <v>10.035999874092818</v>
      </c>
      <c r="K80" s="187"/>
      <c r="L80" s="187"/>
      <c r="M80" s="187"/>
      <c r="N80" s="187">
        <v>27660.95</v>
      </c>
      <c r="O80" s="187">
        <f t="shared" si="31"/>
        <v>206162.08999999997</v>
      </c>
      <c r="P80" s="214">
        <f t="shared" si="32"/>
        <v>8.453181832149655</v>
      </c>
      <c r="Q80" s="187">
        <v>21551.45</v>
      </c>
      <c r="R80" s="167">
        <f t="shared" si="28"/>
        <v>1915.0299999999988</v>
      </c>
      <c r="S80" s="209">
        <f t="shared" si="29"/>
        <v>1.0888585222804033</v>
      </c>
      <c r="T80" s="185">
        <f>T76+T77+T78+T79</f>
        <v>48156.899999999994</v>
      </c>
      <c r="U80" s="189">
        <f>U76+U77+U78+U79</f>
        <v>43.94000000000028</v>
      </c>
      <c r="V80" s="187">
        <f t="shared" si="33"/>
        <v>-48112.95999999999</v>
      </c>
      <c r="W80" s="187">
        <f>U80/T80*100</f>
        <v>0.09124341475468788</v>
      </c>
      <c r="X80" s="363">
        <f t="shared" si="16"/>
        <v>-7.364323309869252</v>
      </c>
    </row>
    <row r="81" spans="2:24" ht="46.5">
      <c r="B81" s="12" t="s">
        <v>40</v>
      </c>
      <c r="C81" s="75">
        <v>24062100</v>
      </c>
      <c r="D81" s="180">
        <v>40</v>
      </c>
      <c r="E81" s="180">
        <v>34</v>
      </c>
      <c r="F81" s="181">
        <v>38.14</v>
      </c>
      <c r="G81" s="162">
        <f t="shared" si="30"/>
        <v>4.140000000000001</v>
      </c>
      <c r="H81" s="164"/>
      <c r="I81" s="167">
        <f t="shared" si="34"/>
        <v>-1.8599999999999994</v>
      </c>
      <c r="J81" s="167"/>
      <c r="K81" s="167"/>
      <c r="L81" s="167"/>
      <c r="M81" s="167"/>
      <c r="N81" s="167">
        <v>69.99</v>
      </c>
      <c r="O81" s="167">
        <f t="shared" si="31"/>
        <v>-29.989999999999995</v>
      </c>
      <c r="P81" s="209">
        <f t="shared" si="32"/>
        <v>0.5715102157451065</v>
      </c>
      <c r="Q81" s="167">
        <v>35.95</v>
      </c>
      <c r="R81" s="167">
        <f t="shared" si="28"/>
        <v>2.1899999999999977</v>
      </c>
      <c r="S81" s="209">
        <f t="shared" si="29"/>
        <v>1.0609179415855354</v>
      </c>
      <c r="T81" s="157">
        <f>E81-жовтень!E81</f>
        <v>15</v>
      </c>
      <c r="U81" s="160">
        <f>F81-жовтень!F81</f>
        <v>0</v>
      </c>
      <c r="V81" s="167">
        <f t="shared" si="33"/>
        <v>-15</v>
      </c>
      <c r="W81" s="167"/>
      <c r="X81" s="363">
        <f t="shared" si="16"/>
        <v>0.4894077258404289</v>
      </c>
    </row>
    <row r="82" spans="2:24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0"/>
        <v>0</v>
      </c>
      <c r="H82" s="164"/>
      <c r="I82" s="167">
        <f t="shared" si="34"/>
        <v>0</v>
      </c>
      <c r="J82" s="190"/>
      <c r="K82" s="190"/>
      <c r="L82" s="190"/>
      <c r="M82" s="190"/>
      <c r="N82" s="190"/>
      <c r="O82" s="167">
        <f t="shared" si="31"/>
        <v>0</v>
      </c>
      <c r="P82" s="209" t="e">
        <f t="shared" si="32"/>
        <v>#DIV/0!</v>
      </c>
      <c r="Q82" s="167">
        <v>0</v>
      </c>
      <c r="R82" s="167">
        <f t="shared" si="28"/>
        <v>0</v>
      </c>
      <c r="S82" s="209" t="e">
        <f t="shared" si="29"/>
        <v>#DIV/0!</v>
      </c>
      <c r="T82" s="157">
        <f>E82-жовтень!E82</f>
        <v>0</v>
      </c>
      <c r="U82" s="160">
        <f>F82-жовтень!F82</f>
        <v>0</v>
      </c>
      <c r="V82" s="167">
        <f t="shared" si="33"/>
        <v>0</v>
      </c>
      <c r="W82" s="190"/>
      <c r="X82" s="363" t="e">
        <f t="shared" si="16"/>
        <v>#DIV/0!</v>
      </c>
    </row>
    <row r="83" spans="2:24" ht="18">
      <c r="B83" s="23" t="s">
        <v>46</v>
      </c>
      <c r="C83" s="73">
        <v>19010000</v>
      </c>
      <c r="D83" s="180">
        <v>8360</v>
      </c>
      <c r="E83" s="180">
        <v>8359.5</v>
      </c>
      <c r="F83" s="181">
        <v>6804.14</v>
      </c>
      <c r="G83" s="162">
        <f t="shared" si="30"/>
        <v>-1555.3599999999997</v>
      </c>
      <c r="H83" s="164">
        <f>F83/E83*100</f>
        <v>81.39410251809319</v>
      </c>
      <c r="I83" s="167">
        <f t="shared" si="34"/>
        <v>-1555.8599999999997</v>
      </c>
      <c r="J83" s="167">
        <f>F83/D83*100</f>
        <v>81.38923444976078</v>
      </c>
      <c r="K83" s="167"/>
      <c r="L83" s="167"/>
      <c r="M83" s="167"/>
      <c r="N83" s="167">
        <v>8352.68</v>
      </c>
      <c r="O83" s="167">
        <f t="shared" si="31"/>
        <v>7.319999999999709</v>
      </c>
      <c r="P83" s="209">
        <f t="shared" si="32"/>
        <v>1.0008763654300177</v>
      </c>
      <c r="Q83" s="167">
        <v>6836.07</v>
      </c>
      <c r="R83" s="167">
        <f t="shared" si="28"/>
        <v>-31.92999999999938</v>
      </c>
      <c r="S83" s="209">
        <f t="shared" si="29"/>
        <v>0.9953291876765452</v>
      </c>
      <c r="T83" s="157">
        <f>E83-жовтень!E83</f>
        <v>1959.5</v>
      </c>
      <c r="U83" s="160">
        <f>F83-жовтень!F83</f>
        <v>11.210000000000036</v>
      </c>
      <c r="V83" s="167">
        <f t="shared" si="33"/>
        <v>-1948.29</v>
      </c>
      <c r="W83" s="167">
        <f>U83/T83*100</f>
        <v>0.5720847154886469</v>
      </c>
      <c r="X83" s="363">
        <f t="shared" si="16"/>
        <v>-0.005547177753472465</v>
      </c>
    </row>
    <row r="84" spans="2:24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0"/>
        <v>0.08</v>
      </c>
      <c r="H84" s="164"/>
      <c r="I84" s="167">
        <f t="shared" si="34"/>
        <v>0.08</v>
      </c>
      <c r="J84" s="167"/>
      <c r="K84" s="167"/>
      <c r="L84" s="167"/>
      <c r="M84" s="167"/>
      <c r="N84" s="167">
        <v>1.48</v>
      </c>
      <c r="O84" s="167">
        <f t="shared" si="31"/>
        <v>-1.48</v>
      </c>
      <c r="P84" s="209">
        <f t="shared" si="32"/>
        <v>0</v>
      </c>
      <c r="Q84" s="167">
        <v>1.34</v>
      </c>
      <c r="R84" s="167">
        <f t="shared" si="28"/>
        <v>-1.26</v>
      </c>
      <c r="S84" s="209">
        <f t="shared" si="29"/>
        <v>0.05970149253731343</v>
      </c>
      <c r="T84" s="157">
        <f>E84-жовтень!E84</f>
        <v>0</v>
      </c>
      <c r="U84" s="160">
        <f>F84-жовтень!F84</f>
        <v>0</v>
      </c>
      <c r="V84" s="167">
        <f t="shared" si="33"/>
        <v>0</v>
      </c>
      <c r="W84" s="190"/>
      <c r="X84" s="363">
        <f t="shared" si="16"/>
        <v>0.05970149253731343</v>
      </c>
    </row>
    <row r="85" spans="2:24" ht="30.75">
      <c r="B85" s="28" t="s">
        <v>47</v>
      </c>
      <c r="C85" s="73"/>
      <c r="D85" s="183">
        <f>D81+D84+D82+D83</f>
        <v>8400</v>
      </c>
      <c r="E85" s="183">
        <f>E81+E84+E82+E83</f>
        <v>8393.5</v>
      </c>
      <c r="F85" s="184">
        <f>F81+F84+F82+F83</f>
        <v>6842.360000000001</v>
      </c>
      <c r="G85" s="185">
        <f t="shared" si="30"/>
        <v>-1551.1399999999994</v>
      </c>
      <c r="H85" s="186">
        <f>F85/E85*100</f>
        <v>81.5197474236016</v>
      </c>
      <c r="I85" s="187">
        <f t="shared" si="34"/>
        <v>-1557.6399999999994</v>
      </c>
      <c r="J85" s="187">
        <f>F85/D85*100</f>
        <v>81.45666666666668</v>
      </c>
      <c r="K85" s="187"/>
      <c r="L85" s="187"/>
      <c r="M85" s="187"/>
      <c r="N85" s="187">
        <v>8424.15</v>
      </c>
      <c r="O85" s="187">
        <f t="shared" si="31"/>
        <v>-24.149999999999636</v>
      </c>
      <c r="P85" s="214">
        <f t="shared" si="32"/>
        <v>0.9971332419294529</v>
      </c>
      <c r="Q85" s="187">
        <v>6873.35</v>
      </c>
      <c r="R85" s="167">
        <f t="shared" si="28"/>
        <v>-30.98999999999978</v>
      </c>
      <c r="S85" s="209">
        <f t="shared" si="29"/>
        <v>0.9954912815439342</v>
      </c>
      <c r="T85" s="185">
        <f>T81+T84+T82+T83</f>
        <v>1974.5</v>
      </c>
      <c r="U85" s="189">
        <f>U81+U84+U82+U83</f>
        <v>11.210000000000036</v>
      </c>
      <c r="V85" s="187">
        <f t="shared" si="33"/>
        <v>-1963.29</v>
      </c>
      <c r="W85" s="187">
        <f>U85/T85*100</f>
        <v>0.5677386680172214</v>
      </c>
      <c r="X85" s="363">
        <f t="shared" si="16"/>
        <v>-0.0016419603855186704</v>
      </c>
    </row>
    <row r="86" spans="2:24" ht="30.75">
      <c r="B86" s="12" t="s">
        <v>41</v>
      </c>
      <c r="C86" s="43">
        <v>24110900</v>
      </c>
      <c r="D86" s="180">
        <v>38</v>
      </c>
      <c r="E86" s="180">
        <v>38</v>
      </c>
      <c r="F86" s="181">
        <v>27.25</v>
      </c>
      <c r="G86" s="162">
        <f t="shared" si="30"/>
        <v>-10.75</v>
      </c>
      <c r="H86" s="164">
        <f>F86/E86*100</f>
        <v>71.71052631578947</v>
      </c>
      <c r="I86" s="167">
        <f t="shared" si="34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1"/>
        <v>2.6700000000000017</v>
      </c>
      <c r="P86" s="209">
        <f t="shared" si="32"/>
        <v>1.075573167279932</v>
      </c>
      <c r="Q86" s="187">
        <v>27.47</v>
      </c>
      <c r="R86" s="167">
        <f t="shared" si="28"/>
        <v>-0.21999999999999886</v>
      </c>
      <c r="S86" s="209">
        <f t="shared" si="29"/>
        <v>0.9919912631962141</v>
      </c>
      <c r="T86" s="157">
        <f>E86-жовтень!E86</f>
        <v>2.700000000000003</v>
      </c>
      <c r="U86" s="160">
        <f>F86-жовтень!F86</f>
        <v>0</v>
      </c>
      <c r="V86" s="167">
        <f t="shared" si="33"/>
        <v>-2.700000000000003</v>
      </c>
      <c r="W86" s="167">
        <f>U86/T86*100</f>
        <v>0</v>
      </c>
      <c r="X86" s="363">
        <f t="shared" si="16"/>
        <v>-0.0835819040837179</v>
      </c>
    </row>
    <row r="87" spans="2:24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9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63">
        <f t="shared" si="16"/>
        <v>0</v>
      </c>
    </row>
    <row r="88" spans="2:24" ht="23.25" customHeight="1">
      <c r="B88" s="306" t="s">
        <v>31</v>
      </c>
      <c r="C88" s="307"/>
      <c r="D88" s="308">
        <f>D74+D75+D80+D85+D86</f>
        <v>242261.03999999998</v>
      </c>
      <c r="E88" s="308">
        <f>E74+E75+E80+E85+E86</f>
        <v>176877.51</v>
      </c>
      <c r="F88" s="308">
        <f>F74+F75+F80+F85+F86</f>
        <v>30369.03</v>
      </c>
      <c r="G88" s="309">
        <f>F88-E88</f>
        <v>-146508.48</v>
      </c>
      <c r="H88" s="310">
        <f>F88/E88*100</f>
        <v>17.16952596177999</v>
      </c>
      <c r="I88" s="301">
        <f>F88-D88</f>
        <v>-211892.00999999998</v>
      </c>
      <c r="J88" s="301">
        <f>F88/D88*100</f>
        <v>12.535664009367748</v>
      </c>
      <c r="K88" s="301"/>
      <c r="L88" s="301"/>
      <c r="M88" s="301"/>
      <c r="N88" s="301">
        <v>36110.25</v>
      </c>
      <c r="O88" s="301">
        <f>D88-N88</f>
        <v>206150.78999999998</v>
      </c>
      <c r="P88" s="302">
        <f>D88/N88</f>
        <v>6.708927243649656</v>
      </c>
      <c r="Q88" s="308">
        <v>28442.09</v>
      </c>
      <c r="R88" s="301">
        <f>F88-Q88</f>
        <v>1926.9399999999987</v>
      </c>
      <c r="S88" s="302">
        <f t="shared" si="29"/>
        <v>1.0677495922416391</v>
      </c>
      <c r="T88" s="308">
        <f>T74+T75+T80+T85+T86</f>
        <v>50134.09999999999</v>
      </c>
      <c r="U88" s="308">
        <f>U74+U75+U80+U85+U86</f>
        <v>55.15000000000032</v>
      </c>
      <c r="V88" s="301">
        <f>U88-T88</f>
        <v>-50078.94999999999</v>
      </c>
      <c r="W88" s="301">
        <f>U88/T88*100</f>
        <v>0.1100049666793666</v>
      </c>
      <c r="X88" s="363">
        <f aca="true" t="shared" si="35" ref="X88:X149">S88-P88</f>
        <v>-5.641177651408017</v>
      </c>
    </row>
    <row r="89" spans="2:24" ht="17.25">
      <c r="B89" s="311" t="s">
        <v>182</v>
      </c>
      <c r="C89" s="307"/>
      <c r="D89" s="308">
        <f>D67+D88</f>
        <v>1599752.1400000001</v>
      </c>
      <c r="E89" s="308">
        <f>E67+E88</f>
        <v>1410810.81</v>
      </c>
      <c r="F89" s="308">
        <f>F67+F88</f>
        <v>1197664</v>
      </c>
      <c r="G89" s="309">
        <f>F89-E89</f>
        <v>-213146.81000000006</v>
      </c>
      <c r="H89" s="310">
        <f>F89/E89*100</f>
        <v>84.89189276909495</v>
      </c>
      <c r="I89" s="301">
        <f>F89-D89</f>
        <v>-402088.14000000013</v>
      </c>
      <c r="J89" s="301">
        <f>F89/D89*100</f>
        <v>74.86559761689082</v>
      </c>
      <c r="K89" s="301"/>
      <c r="L89" s="301"/>
      <c r="M89" s="301"/>
      <c r="N89" s="301">
        <v>1089679.76</v>
      </c>
      <c r="O89" s="301">
        <f>D89-N89</f>
        <v>510072.3800000001</v>
      </c>
      <c r="P89" s="302">
        <f>D89/N89</f>
        <v>1.4680938370370393</v>
      </c>
      <c r="Q89" s="301">
        <f>Q67+Q88</f>
        <v>831605.51</v>
      </c>
      <c r="R89" s="301">
        <f>R67+R88</f>
        <v>366058.48999999993</v>
      </c>
      <c r="S89" s="302">
        <f t="shared" si="29"/>
        <v>1.4401828578552829</v>
      </c>
      <c r="T89" s="309">
        <f>T67+T88</f>
        <v>169296.09999999998</v>
      </c>
      <c r="U89" s="309">
        <f>U67+U88</f>
        <v>35305.969999999994</v>
      </c>
      <c r="V89" s="301">
        <f>U89-T89</f>
        <v>-133990.12999999998</v>
      </c>
      <c r="W89" s="301">
        <f>U89/T89*100</f>
        <v>20.85456782524819</v>
      </c>
      <c r="X89" s="363">
        <f t="shared" si="35"/>
        <v>-0.027910979181756446</v>
      </c>
    </row>
    <row r="90" spans="2:24" ht="15">
      <c r="B90" s="20" t="s">
        <v>34</v>
      </c>
      <c r="U90" s="25"/>
      <c r="X90" s="363">
        <f t="shared" si="35"/>
        <v>0</v>
      </c>
    </row>
    <row r="91" spans="2:24" ht="15">
      <c r="B91" s="4" t="s">
        <v>36</v>
      </c>
      <c r="C91" s="76">
        <v>16</v>
      </c>
      <c r="D91" s="4" t="s">
        <v>35</v>
      </c>
      <c r="U91" s="78"/>
      <c r="X91" s="363">
        <f t="shared" si="35"/>
        <v>0</v>
      </c>
    </row>
    <row r="92" spans="2:24" ht="30.75">
      <c r="B92" s="52" t="s">
        <v>53</v>
      </c>
      <c r="C92" s="29">
        <f>IF(V67&lt;0,ABS(V67/C91),0)</f>
        <v>5244.4487500000005</v>
      </c>
      <c r="D92" s="4" t="s">
        <v>24</v>
      </c>
      <c r="G92" s="402"/>
      <c r="H92" s="402"/>
      <c r="I92" s="402"/>
      <c r="J92" s="402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363">
        <f t="shared" si="35"/>
        <v>0</v>
      </c>
    </row>
    <row r="93" spans="2:24" ht="34.5" customHeight="1">
      <c r="B93" s="53" t="s">
        <v>55</v>
      </c>
      <c r="C93" s="81">
        <v>43047</v>
      </c>
      <c r="D93" s="29">
        <v>3176.9</v>
      </c>
      <c r="G93" s="4" t="s">
        <v>58</v>
      </c>
      <c r="U93" s="403"/>
      <c r="V93" s="403"/>
      <c r="X93" s="363">
        <f t="shared" si="35"/>
        <v>0</v>
      </c>
    </row>
    <row r="94" spans="3:24" ht="15">
      <c r="C94" s="81">
        <v>43046</v>
      </c>
      <c r="D94" s="29">
        <v>12721</v>
      </c>
      <c r="G94" s="404"/>
      <c r="H94" s="40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3"/>
      <c r="V94" s="403"/>
      <c r="X94" s="363">
        <f t="shared" si="35"/>
        <v>0</v>
      </c>
    </row>
    <row r="95" spans="3:24" ht="15.75" customHeight="1">
      <c r="C95" s="81">
        <v>43045</v>
      </c>
      <c r="D95" s="29">
        <v>8218.72</v>
      </c>
      <c r="G95" s="404"/>
      <c r="H95" s="40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3"/>
      <c r="V95" s="403"/>
      <c r="X95" s="363">
        <f t="shared" si="35"/>
        <v>0</v>
      </c>
    </row>
    <row r="96" spans="3:24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X96" s="363">
        <f t="shared" si="35"/>
        <v>0</v>
      </c>
    </row>
    <row r="97" spans="2:24" ht="18" customHeight="1">
      <c r="B97" s="407" t="s">
        <v>56</v>
      </c>
      <c r="C97" s="408"/>
      <c r="D97" s="133">
        <v>12519.447699999999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X97" s="363">
        <f t="shared" si="35"/>
        <v>0</v>
      </c>
    </row>
    <row r="98" spans="6:24" ht="9.75" customHeight="1">
      <c r="F98" s="68"/>
      <c r="G98" s="404"/>
      <c r="H98" s="40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X98" s="363">
        <f t="shared" si="35"/>
        <v>0</v>
      </c>
    </row>
    <row r="99" spans="2:24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X99" s="363">
        <f t="shared" si="35"/>
        <v>0</v>
      </c>
    </row>
    <row r="100" spans="2:24" ht="15" hidden="1">
      <c r="B100" s="285" t="s">
        <v>195</v>
      </c>
      <c r="D100" s="68">
        <f>D48+D51+D52</f>
        <v>1060</v>
      </c>
      <c r="E100" s="68">
        <f>E48+E51+E52</f>
        <v>1014</v>
      </c>
      <c r="F100" s="203">
        <f>F48+F51+F52</f>
        <v>1608.6000000000001</v>
      </c>
      <c r="G100" s="68">
        <f>G48+G51+G52</f>
        <v>594.6</v>
      </c>
      <c r="H100" s="69"/>
      <c r="I100" s="69"/>
      <c r="T100" s="29">
        <f>T48+T51+T52</f>
        <v>36</v>
      </c>
      <c r="U100" s="202">
        <f>U48+U51+U52</f>
        <v>38.819999999999936</v>
      </c>
      <c r="V100" s="29">
        <f>V48+V51+V52</f>
        <v>2.8199999999999363</v>
      </c>
      <c r="X100" s="363">
        <f t="shared" si="35"/>
        <v>0</v>
      </c>
    </row>
    <row r="101" spans="4:24" ht="15" hidden="1">
      <c r="D101" s="78"/>
      <c r="I101" s="29"/>
      <c r="U101" s="405"/>
      <c r="V101" s="405"/>
      <c r="X101" s="363">
        <f t="shared" si="35"/>
        <v>0</v>
      </c>
    </row>
    <row r="102" spans="2:24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1179615.9000000001</v>
      </c>
      <c r="F102" s="229">
        <f>F9+F15+F18+F19+F23+F42+F45+F65+F59</f>
        <v>1109315.4100000001</v>
      </c>
      <c r="G102" s="29">
        <f>F102-E102</f>
        <v>-70300.48999999999</v>
      </c>
      <c r="H102" s="230">
        <f>F102/E102</f>
        <v>0.9404039145284495</v>
      </c>
      <c r="I102" s="29">
        <f>F102-D102</f>
        <v>-189733.18999999994</v>
      </c>
      <c r="J102" s="230">
        <f>F102/D102</f>
        <v>0.8539445021533452</v>
      </c>
      <c r="K102" s="230"/>
      <c r="L102" s="230"/>
      <c r="M102" s="230"/>
      <c r="N102" s="230"/>
      <c r="O102" s="230"/>
      <c r="T102" s="29">
        <f>T9+T15+T17+T18+T19+T23+T42+T45+T65+T59</f>
        <v>114576.2</v>
      </c>
      <c r="U102" s="229">
        <f>U9+U15+U17+U18+U19+U23+U42+U45+U65+U59</f>
        <v>31769.179999999993</v>
      </c>
      <c r="V102" s="29">
        <f>U102-T102</f>
        <v>-82807.02</v>
      </c>
      <c r="W102" s="230">
        <f>U102/T102</f>
        <v>0.27727555984576197</v>
      </c>
      <c r="X102" s="363">
        <f t="shared" si="35"/>
        <v>0</v>
      </c>
    </row>
    <row r="103" spans="2:24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54317.4</v>
      </c>
      <c r="F103" s="229">
        <f>F43+F44+F46+F48+F50+F51+F52+F53+F54+F60+F64+F47+F66</f>
        <v>57955.689999999995</v>
      </c>
      <c r="G103" s="29">
        <f>G43+G44+G46+G48+G50+G51+G52+G53+G54+G60+G64+G47</f>
        <v>3643.2899999999986</v>
      </c>
      <c r="H103" s="230">
        <f>F103/E103</f>
        <v>1.066982035222599</v>
      </c>
      <c r="I103" s="29">
        <f>I43+I44+I46+I48+I50+I51+I52+I53+I54+I60+I64+I47</f>
        <v>-481.8100000000019</v>
      </c>
      <c r="J103" s="230">
        <f>F103/D103</f>
        <v>0.9916702742011377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3430.35</v>
      </c>
      <c r="S103" s="29">
        <f>S43+S44+S46+S48+S50+S51+S52+S53+S54+S60+S64+S47</f>
        <v>21.242332673716565</v>
      </c>
      <c r="T103" s="29">
        <f>T43+T44+T46+T48+T50+T51+T52+T53+T54+T60+T64+T47+T66</f>
        <v>4585.8</v>
      </c>
      <c r="U103" s="229">
        <f>U43+U44+U46+U48+U50+U51+U52+U53+U54+U60+U64+U47+U66</f>
        <v>3481.6399999999994</v>
      </c>
      <c r="V103" s="29">
        <f>V43+V44+V46+V48+V50+V51+V52+V53+V54+V60+V64+V47</f>
        <v>-1104.1900000000012</v>
      </c>
      <c r="W103" s="230">
        <f>U103/T103</f>
        <v>0.7592219460072396</v>
      </c>
      <c r="X103" s="363">
        <f t="shared" si="35"/>
        <v>21.242332673716565</v>
      </c>
    </row>
    <row r="104" spans="2:24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X104" s="363" t="e">
        <f t="shared" si="35"/>
        <v>#N/A</v>
      </c>
    </row>
    <row r="105" spans="4:24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363" t="e">
        <f t="shared" si="35"/>
        <v>#N/A</v>
      </c>
    </row>
    <row r="106" spans="5:24" ht="15" hidden="1">
      <c r="E106" s="4" t="s">
        <v>58</v>
      </c>
      <c r="X106" s="363">
        <f t="shared" si="35"/>
        <v>0</v>
      </c>
    </row>
    <row r="107" spans="2:24" ht="15" hidden="1">
      <c r="B107" s="245" t="s">
        <v>165</v>
      </c>
      <c r="E107" s="29">
        <f>E67-E9-E20-E29-E35</f>
        <v>127106.30000000005</v>
      </c>
      <c r="X107" s="363">
        <f t="shared" si="35"/>
        <v>0</v>
      </c>
    </row>
    <row r="108" spans="2:24" ht="15" hidden="1">
      <c r="B108" s="245" t="s">
        <v>166</v>
      </c>
      <c r="E108" s="29">
        <f>E88-E83-E76-E77</f>
        <v>55383.000000000015</v>
      </c>
      <c r="X108" s="363">
        <f t="shared" si="35"/>
        <v>0</v>
      </c>
    </row>
    <row r="109" ht="15" hidden="1">
      <c r="X109" s="363">
        <f t="shared" si="35"/>
        <v>0</v>
      </c>
    </row>
    <row r="110" spans="2:24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363">
        <f t="shared" si="35"/>
        <v>0</v>
      </c>
    </row>
    <row r="111" spans="2:24" ht="23.25" customHeight="1" hidden="1">
      <c r="B111" s="14" t="s">
        <v>31</v>
      </c>
      <c r="C111" s="66"/>
      <c r="D111" s="191">
        <f>D88+D110</f>
        <v>314669.26</v>
      </c>
      <c r="E111" s="191">
        <f>E88+E110</f>
        <v>194979.57</v>
      </c>
      <c r="F111" s="191">
        <f>F88+F110</f>
        <v>50623.35</v>
      </c>
      <c r="G111" s="192">
        <f>F111-E111</f>
        <v>-144356.22</v>
      </c>
      <c r="H111" s="193">
        <f>F111/E111*100</f>
        <v>25.963412474445395</v>
      </c>
      <c r="I111" s="194">
        <f>F111-D111</f>
        <v>-264045.91000000003</v>
      </c>
      <c r="J111" s="194">
        <f>F111/D111*100</f>
        <v>16.087796437440378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47583.479999999996</v>
      </c>
      <c r="S111" s="269">
        <f>F111/Q111</f>
        <v>16.6531299035814</v>
      </c>
      <c r="T111" s="272"/>
      <c r="U111" s="272"/>
      <c r="V111" s="273"/>
      <c r="W111" s="273"/>
      <c r="X111" s="363">
        <f t="shared" si="35"/>
        <v>16.6531299035814</v>
      </c>
    </row>
    <row r="112" spans="2:24" ht="17.25" hidden="1">
      <c r="B112" s="21" t="s">
        <v>181</v>
      </c>
      <c r="C112" s="66"/>
      <c r="D112" s="191">
        <f>D111+D67</f>
        <v>1672160.36</v>
      </c>
      <c r="E112" s="191">
        <f>E111+E67</f>
        <v>1428912.87</v>
      </c>
      <c r="F112" s="191">
        <f>F111+F67</f>
        <v>1217918.32</v>
      </c>
      <c r="G112" s="192">
        <f>F112-E112</f>
        <v>-210994.55000000005</v>
      </c>
      <c r="H112" s="193">
        <f>F112/E112*100</f>
        <v>85.23391072823075</v>
      </c>
      <c r="I112" s="194">
        <f>F112-D112</f>
        <v>-454242.04000000004</v>
      </c>
      <c r="J112" s="194">
        <f>F112/D112*100</f>
        <v>72.83501924420693</v>
      </c>
      <c r="K112" s="194"/>
      <c r="L112" s="194"/>
      <c r="M112" s="194"/>
      <c r="N112" s="194"/>
      <c r="O112" s="194"/>
      <c r="P112" s="221"/>
      <c r="Q112" s="194">
        <f>Q89+Q111</f>
        <v>834645.38</v>
      </c>
      <c r="R112" s="194">
        <f>F112-Q112</f>
        <v>383272.94000000006</v>
      </c>
      <c r="S112" s="269">
        <f>F112/Q112</f>
        <v>1.4592045306714572</v>
      </c>
      <c r="T112" s="274"/>
      <c r="U112" s="274"/>
      <c r="V112" s="273"/>
      <c r="W112" s="273"/>
      <c r="X112" s="363">
        <f t="shared" si="35"/>
        <v>1.4592045306714572</v>
      </c>
    </row>
    <row r="113" spans="2:24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X113" s="363">
        <f t="shared" si="35"/>
        <v>0</v>
      </c>
    </row>
    <row r="114" spans="2:24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X114" s="363">
        <f t="shared" si="35"/>
        <v>0</v>
      </c>
    </row>
    <row r="115" spans="2:24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X115" s="363">
        <f t="shared" si="35"/>
        <v>0</v>
      </c>
    </row>
    <row r="116" spans="2:24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X116" s="363">
        <f t="shared" si="35"/>
        <v>0</v>
      </c>
    </row>
    <row r="117" spans="2:24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X117" s="363">
        <f t="shared" si="35"/>
        <v>0</v>
      </c>
    </row>
    <row r="118" spans="2:24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X118" s="363">
        <f t="shared" si="35"/>
        <v>0</v>
      </c>
    </row>
    <row r="119" spans="2:24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X119" s="363">
        <f t="shared" si="35"/>
        <v>0</v>
      </c>
    </row>
    <row r="120" spans="2:24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X120" s="363">
        <f t="shared" si="35"/>
        <v>0</v>
      </c>
    </row>
    <row r="121" spans="2:24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X121" s="363">
        <f t="shared" si="35"/>
        <v>0</v>
      </c>
    </row>
    <row r="122" spans="2:24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X122" s="363">
        <f t="shared" si="35"/>
        <v>0</v>
      </c>
    </row>
    <row r="123" spans="2:24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X123" s="363">
        <f t="shared" si="35"/>
        <v>0</v>
      </c>
    </row>
    <row r="124" spans="2:24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X124" s="363">
        <f t="shared" si="35"/>
        <v>0</v>
      </c>
    </row>
    <row r="125" ht="15" hidden="1">
      <c r="X125" s="363">
        <f t="shared" si="35"/>
        <v>0</v>
      </c>
    </row>
    <row r="126" ht="15" hidden="1">
      <c r="X126" s="363">
        <f t="shared" si="35"/>
        <v>0</v>
      </c>
    </row>
    <row r="127" ht="15" hidden="1">
      <c r="X127" s="363">
        <f t="shared" si="35"/>
        <v>0</v>
      </c>
    </row>
    <row r="128" ht="15" hidden="1">
      <c r="X128" s="363">
        <f t="shared" si="35"/>
        <v>0</v>
      </c>
    </row>
    <row r="129" ht="15" hidden="1">
      <c r="X129" s="363">
        <f t="shared" si="35"/>
        <v>0</v>
      </c>
    </row>
    <row r="130" ht="15" hidden="1">
      <c r="X130" s="363">
        <f t="shared" si="35"/>
        <v>0</v>
      </c>
    </row>
    <row r="131" spans="2:24" ht="15" hidden="1">
      <c r="B131" s="360" t="s">
        <v>254</v>
      </c>
      <c r="X131" s="363">
        <f t="shared" si="35"/>
        <v>0</v>
      </c>
    </row>
    <row r="132" spans="1:24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36" ref="G132:G140">F132-E132</f>
        <v>0.49</v>
      </c>
      <c r="H132" s="157"/>
      <c r="I132" s="158">
        <f aca="true" t="shared" si="37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38" ref="O132:O138">D132-N132</f>
        <v>-0.17</v>
      </c>
      <c r="P132" s="210">
        <f aca="true" t="shared" si="39" ref="P132:P138">D132/N132</f>
        <v>0</v>
      </c>
      <c r="Q132" s="167">
        <v>0.17</v>
      </c>
      <c r="R132" s="161">
        <f aca="true" t="shared" si="40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1" ref="V132:V140">U132-T132</f>
        <v>0.49</v>
      </c>
      <c r="W132" s="158"/>
      <c r="X132" s="363">
        <f t="shared" si="35"/>
        <v>2.88235294117647</v>
      </c>
    </row>
    <row r="133" spans="1:24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36"/>
        <v>57.46000000000001</v>
      </c>
      <c r="H133" s="157">
        <f>F133/E133*100</f>
        <v>163.84444444444446</v>
      </c>
      <c r="I133" s="158">
        <f t="shared" si="37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38"/>
        <v>0.29999999999999716</v>
      </c>
      <c r="P133" s="210">
        <f t="shared" si="39"/>
        <v>1.0024057738572574</v>
      </c>
      <c r="Q133" s="161">
        <v>105.8</v>
      </c>
      <c r="R133" s="161">
        <f t="shared" si="40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1"/>
        <v>57.46000000000001</v>
      </c>
      <c r="W133" s="158">
        <f>U133/T133*100</f>
        <v>163.84444444444446</v>
      </c>
      <c r="X133" s="363">
        <f t="shared" si="35"/>
        <v>0.3913560408875443</v>
      </c>
    </row>
    <row r="134" spans="1:24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36"/>
        <v>103.30000000000001</v>
      </c>
      <c r="H134" s="164">
        <f>F134/E134*100</f>
        <v>513.2</v>
      </c>
      <c r="I134" s="165">
        <f t="shared" si="37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38"/>
        <v>8.02</v>
      </c>
      <c r="P134" s="218">
        <f t="shared" si="39"/>
        <v>1.2507817385866167</v>
      </c>
      <c r="Q134" s="165">
        <v>31.98</v>
      </c>
      <c r="R134" s="165">
        <f t="shared" si="40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1"/>
        <v>103.30000000000001</v>
      </c>
      <c r="W134" s="165">
        <f>U134/T134</f>
        <v>5.132000000000001</v>
      </c>
      <c r="X134" s="363">
        <f t="shared" si="35"/>
        <v>2.7611006879299564</v>
      </c>
    </row>
    <row r="135" spans="1:24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36"/>
        <v>12.95</v>
      </c>
      <c r="H135" s="164"/>
      <c r="I135" s="165">
        <f t="shared" si="37"/>
        <v>12.95</v>
      </c>
      <c r="J135" s="165"/>
      <c r="K135" s="165"/>
      <c r="L135" s="165"/>
      <c r="M135" s="165"/>
      <c r="N135" s="165">
        <v>0.1</v>
      </c>
      <c r="O135" s="165">
        <f t="shared" si="38"/>
        <v>-0.1</v>
      </c>
      <c r="P135" s="218">
        <f t="shared" si="39"/>
        <v>0</v>
      </c>
      <c r="Q135" s="165">
        <v>0.1</v>
      </c>
      <c r="R135" s="165">
        <f t="shared" si="40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1"/>
        <v>12.95</v>
      </c>
      <c r="W135" s="165"/>
      <c r="X135" s="363">
        <f t="shared" si="35"/>
        <v>0</v>
      </c>
    </row>
    <row r="136" spans="1:24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36"/>
        <v>426.32000000000005</v>
      </c>
      <c r="H136" s="164">
        <f>F136/E136*100</f>
        <v>319.75257731958766</v>
      </c>
      <c r="I136" s="165">
        <f t="shared" si="37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38"/>
        <v>18.930000000000007</v>
      </c>
      <c r="P136" s="218">
        <f t="shared" si="39"/>
        <v>1.0785249097772431</v>
      </c>
      <c r="Q136" s="165">
        <v>197.12</v>
      </c>
      <c r="R136" s="165">
        <f t="shared" si="40"/>
        <v>423.20000000000005</v>
      </c>
      <c r="S136" s="218">
        <f aca="true" t="shared" si="42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1"/>
        <v>426.32000000000005</v>
      </c>
      <c r="W136" s="165">
        <f>U136/T136</f>
        <v>3.1975257731958764</v>
      </c>
      <c r="X136" s="363">
        <f t="shared" si="35"/>
        <v>2.0683906746383416</v>
      </c>
    </row>
    <row r="137" spans="1:24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36"/>
        <v>3.6300000000000097</v>
      </c>
      <c r="H137" s="164">
        <f>F137/E137*100</f>
        <v>104.8529411764706</v>
      </c>
      <c r="I137" s="165">
        <f t="shared" si="37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38"/>
        <v>11.129999999999995</v>
      </c>
      <c r="P137" s="218">
        <f t="shared" si="39"/>
        <v>1.1288641889544981</v>
      </c>
      <c r="Q137" s="165">
        <v>41.15</v>
      </c>
      <c r="R137" s="165">
        <f t="shared" si="40"/>
        <v>37.28000000000001</v>
      </c>
      <c r="S137" s="218">
        <f t="shared" si="42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1"/>
        <v>3.6300000000000097</v>
      </c>
      <c r="W137" s="165">
        <f>U137/T137</f>
        <v>1.048529411764706</v>
      </c>
      <c r="X137" s="363">
        <f t="shared" si="35"/>
        <v>0.7770896385060124</v>
      </c>
    </row>
    <row r="138" spans="1:24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36"/>
        <v>-0.45999999999999996</v>
      </c>
      <c r="H138" s="164">
        <f>F138/E138*100</f>
        <v>81.60000000000001</v>
      </c>
      <c r="I138" s="165">
        <f t="shared" si="37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38"/>
        <v>0.040000000000000036</v>
      </c>
      <c r="P138" s="218">
        <f t="shared" si="39"/>
        <v>1.016260162601626</v>
      </c>
      <c r="Q138" s="165">
        <v>2.46</v>
      </c>
      <c r="R138" s="165">
        <f t="shared" si="40"/>
        <v>-0.41999999999999993</v>
      </c>
      <c r="S138" s="218">
        <f t="shared" si="42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1"/>
        <v>-0.45999999999999996</v>
      </c>
      <c r="W138" s="165"/>
      <c r="X138" s="363">
        <f t="shared" si="35"/>
        <v>-0.1869918699186992</v>
      </c>
    </row>
    <row r="139" spans="1:24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36"/>
        <v>22.919999999999998</v>
      </c>
      <c r="H139" s="164">
        <f>F139/E139*100</f>
        <v>302.8318584070796</v>
      </c>
      <c r="I139" s="165">
        <f t="shared" si="37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0"/>
        <v>20.7</v>
      </c>
      <c r="S139" s="218">
        <f t="shared" si="42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1"/>
        <v>22.919999999999998</v>
      </c>
      <c r="W139" s="165">
        <f>U139/T139</f>
        <v>3.0283185840707962</v>
      </c>
      <c r="X139" s="363">
        <f t="shared" si="35"/>
        <v>1.4215976331360947</v>
      </c>
    </row>
    <row r="140" spans="1:24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36"/>
        <v>-5.17</v>
      </c>
      <c r="H140" s="164"/>
      <c r="I140" s="165">
        <f t="shared" si="37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0"/>
        <v>-6.1899999999999995</v>
      </c>
      <c r="S140" s="218">
        <f t="shared" si="42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1"/>
        <v>-5.17</v>
      </c>
      <c r="W140" s="165"/>
      <c r="X140" s="363">
        <f t="shared" si="35"/>
        <v>-5.068627450980392</v>
      </c>
    </row>
    <row r="141" spans="4:24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2"/>
        <v>2.5908674870334596</v>
      </c>
      <c r="X141" s="363">
        <f t="shared" si="35"/>
        <v>1.5273310313671735</v>
      </c>
    </row>
    <row r="142" ht="15" hidden="1">
      <c r="X142" s="363"/>
    </row>
    <row r="143" spans="2:24" ht="15" hidden="1">
      <c r="B143" s="284" t="s">
        <v>255</v>
      </c>
      <c r="X143" s="363"/>
    </row>
    <row r="144" spans="1:24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3" ref="G144:G149">F144-E144</f>
        <v>266.99</v>
      </c>
      <c r="H144" s="164">
        <f>F144/E144*100</f>
        <v>141.7171875</v>
      </c>
      <c r="I144" s="165">
        <f aca="true" t="shared" si="44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45" ref="O144:O149">D144-N144</f>
        <v>-61.33000000000004</v>
      </c>
      <c r="P144" s="218">
        <f aca="true" t="shared" si="46" ref="P144:P149">D144/N144</f>
        <v>0.9224975673865518</v>
      </c>
      <c r="Q144" s="165">
        <v>428.63</v>
      </c>
      <c r="R144" s="165">
        <f aca="true" t="shared" si="47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63">
        <f t="shared" si="35"/>
        <v>1.1935232431026814</v>
      </c>
    </row>
    <row r="145" spans="1:24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3"/>
        <v>23.38</v>
      </c>
      <c r="H145" s="164"/>
      <c r="I145" s="165">
        <f t="shared" si="44"/>
        <v>23.38</v>
      </c>
      <c r="J145" s="165"/>
      <c r="K145" s="165"/>
      <c r="L145" s="165"/>
      <c r="M145" s="165"/>
      <c r="N145" s="165">
        <v>0</v>
      </c>
      <c r="O145" s="165">
        <f t="shared" si="45"/>
        <v>0</v>
      </c>
      <c r="P145" s="218" t="e">
        <f t="shared" si="46"/>
        <v>#DIV/0!</v>
      </c>
      <c r="Q145" s="165"/>
      <c r="R145" s="165">
        <f t="shared" si="47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63" t="e">
        <f t="shared" si="35"/>
        <v>#DIV/0!</v>
      </c>
    </row>
    <row r="146" spans="1:24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3"/>
        <v>5825.24</v>
      </c>
      <c r="H146" s="164">
        <f>F146/E146*100</f>
        <v>165.1592841163311</v>
      </c>
      <c r="I146" s="165">
        <f t="shared" si="44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45"/>
        <v>-422.5</v>
      </c>
      <c r="P146" s="218">
        <f t="shared" si="46"/>
        <v>0.9630115999124534</v>
      </c>
      <c r="Q146" s="165">
        <v>8067.74</v>
      </c>
      <c r="R146" s="165">
        <f t="shared" si="47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63">
        <f t="shared" si="35"/>
        <v>0.8671465360711058</v>
      </c>
    </row>
    <row r="147" spans="1:24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3"/>
        <v>203.04000000000002</v>
      </c>
      <c r="H147" s="164">
        <f>F147/E147*100</f>
        <v>186.4</v>
      </c>
      <c r="I147" s="165">
        <f t="shared" si="44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45"/>
        <v>-13.25</v>
      </c>
      <c r="P147" s="218">
        <f t="shared" si="46"/>
        <v>0.9590100541376644</v>
      </c>
      <c r="Q147" s="165">
        <v>210.12</v>
      </c>
      <c r="R147" s="165">
        <f t="shared" si="47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63">
        <f t="shared" si="35"/>
        <v>1.1257034429116408</v>
      </c>
    </row>
    <row r="148" spans="1:24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3"/>
        <v>12.280000000000001</v>
      </c>
      <c r="H148" s="164">
        <f>F148/E148*100</f>
        <v>172.23529411764707</v>
      </c>
      <c r="I148" s="165">
        <f t="shared" si="44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45"/>
        <v>-2.3599999999999994</v>
      </c>
      <c r="P148" s="218">
        <f t="shared" si="46"/>
        <v>0.8944543828264758</v>
      </c>
      <c r="Q148" s="165">
        <v>16.68</v>
      </c>
      <c r="R148" s="165">
        <f t="shared" si="47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63">
        <f t="shared" si="35"/>
        <v>0.8609413006267618</v>
      </c>
    </row>
    <row r="149" spans="4:24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3"/>
        <v>6330.930000000002</v>
      </c>
      <c r="H149" s="230">
        <f>F149/E149</f>
        <v>1.6439106997558994</v>
      </c>
      <c r="I149" s="29">
        <f t="shared" si="44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45"/>
        <v>-499.4400000000005</v>
      </c>
      <c r="P149" s="230">
        <f t="shared" si="46"/>
        <v>0.9602338957787927</v>
      </c>
      <c r="Q149" s="29">
        <f>Q144+Q145+Q146+Q147+Q148</f>
        <v>8723.17</v>
      </c>
      <c r="R149" s="29">
        <f t="shared" si="47"/>
        <v>7439.760000000002</v>
      </c>
      <c r="S149" s="230">
        <f>F149/Q149</f>
        <v>1.8528734393574815</v>
      </c>
      <c r="X149" s="363">
        <f t="shared" si="35"/>
        <v>0.8926395435786888</v>
      </c>
    </row>
    <row r="150" ht="15" hidden="1">
      <c r="X150" s="363"/>
    </row>
    <row r="151" ht="15" hidden="1">
      <c r="X151" s="363"/>
    </row>
    <row r="152" spans="2:24" ht="15" hidden="1">
      <c r="B152" s="284" t="s">
        <v>256</v>
      </c>
      <c r="X152" s="363"/>
    </row>
    <row r="153" spans="1:24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63">
        <f>S153-P153</f>
        <v>0.18546306589039396</v>
      </c>
    </row>
    <row r="154" spans="1:24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63">
        <f>S154-P154</f>
        <v>-0.3273107146810705</v>
      </c>
    </row>
    <row r="155" spans="4:24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X155" s="363">
        <f>S155-P155</f>
        <v>0.1716665612796382</v>
      </c>
    </row>
    <row r="156" ht="15" hidden="1"/>
  </sheetData>
  <sheetProtection/>
  <mergeCells count="34">
    <mergeCell ref="B97:C97"/>
    <mergeCell ref="G97:H97"/>
    <mergeCell ref="G98:H98"/>
    <mergeCell ref="B99:C99"/>
    <mergeCell ref="G99:H99"/>
    <mergeCell ref="U93:V93"/>
    <mergeCell ref="G94:H94"/>
    <mergeCell ref="U94:V94"/>
    <mergeCell ref="G95:H95"/>
    <mergeCell ref="U95:V95"/>
    <mergeCell ref="U101:V101"/>
    <mergeCell ref="G96:H96"/>
    <mergeCell ref="F4:F5"/>
    <mergeCell ref="G4:G5"/>
    <mergeCell ref="H4:H5"/>
    <mergeCell ref="I4:I5"/>
    <mergeCell ref="J4:J5"/>
    <mergeCell ref="G92:J92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6" t="s">
        <v>151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144</v>
      </c>
      <c r="O3" s="389" t="s">
        <v>148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149</v>
      </c>
      <c r="F4" s="400" t="s">
        <v>33</v>
      </c>
      <c r="G4" s="390" t="s">
        <v>145</v>
      </c>
      <c r="H4" s="387" t="s">
        <v>146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152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147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02"/>
      <c r="H89" s="402"/>
      <c r="I89" s="402"/>
      <c r="J89" s="402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03"/>
      <c r="P90" s="40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04"/>
      <c r="H91" s="404"/>
      <c r="I91" s="118"/>
      <c r="J91" s="416"/>
      <c r="K91" s="416"/>
      <c r="L91" s="416"/>
      <c r="M91" s="416"/>
      <c r="N91" s="416"/>
      <c r="O91" s="403"/>
      <c r="P91" s="403"/>
    </row>
    <row r="92" spans="3:16" ht="15.75" customHeight="1">
      <c r="C92" s="81">
        <v>42790</v>
      </c>
      <c r="D92" s="29">
        <v>4206.9</v>
      </c>
      <c r="F92" s="68"/>
      <c r="G92" s="404"/>
      <c r="H92" s="404"/>
      <c r="I92" s="118"/>
      <c r="J92" s="417"/>
      <c r="K92" s="417"/>
      <c r="L92" s="417"/>
      <c r="M92" s="417"/>
      <c r="N92" s="417"/>
      <c r="O92" s="403"/>
      <c r="P92" s="403"/>
    </row>
    <row r="93" spans="3:14" ht="15.75" customHeight="1">
      <c r="C93" s="81"/>
      <c r="F93" s="68"/>
      <c r="G93" s="406"/>
      <c r="H93" s="406"/>
      <c r="I93" s="124"/>
      <c r="J93" s="416"/>
      <c r="K93" s="416"/>
      <c r="L93" s="416"/>
      <c r="M93" s="416"/>
      <c r="N93" s="416"/>
    </row>
    <row r="94" spans="2:14" ht="18.75" customHeight="1">
      <c r="B94" s="407" t="s">
        <v>56</v>
      </c>
      <c r="C94" s="408"/>
      <c r="D94" s="133">
        <v>7713.34596</v>
      </c>
      <c r="E94" s="69"/>
      <c r="F94" s="125" t="s">
        <v>107</v>
      </c>
      <c r="G94" s="404"/>
      <c r="H94" s="40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4"/>
      <c r="H95" s="404"/>
      <c r="I95" s="68"/>
      <c r="J95" s="69"/>
      <c r="K95" s="69"/>
      <c r="L95" s="69"/>
      <c r="M95" s="69"/>
    </row>
    <row r="96" spans="2:13" ht="22.5" customHeight="1" hidden="1">
      <c r="B96" s="409" t="s">
        <v>59</v>
      </c>
      <c r="C96" s="410"/>
      <c r="D96" s="80">
        <v>0</v>
      </c>
      <c r="E96" s="51" t="s">
        <v>24</v>
      </c>
      <c r="F96" s="68"/>
      <c r="G96" s="404"/>
      <c r="H96" s="40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05"/>
      <c r="P98" s="40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6" t="s">
        <v>143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134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123</v>
      </c>
      <c r="O3" s="389" t="s">
        <v>118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135</v>
      </c>
      <c r="F4" s="400" t="s">
        <v>33</v>
      </c>
      <c r="G4" s="390" t="s">
        <v>136</v>
      </c>
      <c r="H4" s="387" t="s">
        <v>137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124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142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02"/>
      <c r="H89" s="402"/>
      <c r="I89" s="402"/>
      <c r="J89" s="402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03"/>
      <c r="P90" s="40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04"/>
      <c r="H91" s="404"/>
      <c r="I91" s="118"/>
      <c r="J91" s="416"/>
      <c r="K91" s="416"/>
      <c r="L91" s="416"/>
      <c r="M91" s="416"/>
      <c r="N91" s="416"/>
      <c r="O91" s="403"/>
      <c r="P91" s="403"/>
    </row>
    <row r="92" spans="3:16" ht="15.75" customHeight="1">
      <c r="C92" s="81">
        <v>42762</v>
      </c>
      <c r="D92" s="29">
        <v>8862.4</v>
      </c>
      <c r="F92" s="68"/>
      <c r="G92" s="404"/>
      <c r="H92" s="404"/>
      <c r="I92" s="118"/>
      <c r="J92" s="417"/>
      <c r="K92" s="417"/>
      <c r="L92" s="417"/>
      <c r="M92" s="417"/>
      <c r="N92" s="417"/>
      <c r="O92" s="403"/>
      <c r="P92" s="403"/>
    </row>
    <row r="93" spans="3:14" ht="15.75" customHeight="1">
      <c r="C93" s="81"/>
      <c r="F93" s="68"/>
      <c r="G93" s="406"/>
      <c r="H93" s="406"/>
      <c r="I93" s="124"/>
      <c r="J93" s="416"/>
      <c r="K93" s="416"/>
      <c r="L93" s="416"/>
      <c r="M93" s="416"/>
      <c r="N93" s="416"/>
    </row>
    <row r="94" spans="2:14" ht="18.75" customHeight="1">
      <c r="B94" s="407" t="s">
        <v>56</v>
      </c>
      <c r="C94" s="408"/>
      <c r="D94" s="133">
        <f>9505303.41/1000</f>
        <v>9505.30341</v>
      </c>
      <c r="E94" s="69"/>
      <c r="F94" s="125" t="s">
        <v>107</v>
      </c>
      <c r="G94" s="404"/>
      <c r="H94" s="40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404"/>
      <c r="H95" s="404"/>
      <c r="I95" s="68"/>
      <c r="J95" s="69"/>
      <c r="K95" s="69"/>
      <c r="L95" s="69"/>
      <c r="M95" s="69"/>
    </row>
    <row r="96" spans="2:13" ht="22.5" customHeight="1" hidden="1">
      <c r="B96" s="409" t="s">
        <v>59</v>
      </c>
      <c r="C96" s="410"/>
      <c r="D96" s="80">
        <v>0</v>
      </c>
      <c r="E96" s="51" t="s">
        <v>24</v>
      </c>
      <c r="F96" s="68"/>
      <c r="G96" s="404"/>
      <c r="H96" s="40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5"/>
      <c r="P98" s="40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</row>
    <row r="2" spans="2:19" s="1" customFormat="1" ht="15.75" customHeight="1">
      <c r="B2" s="377"/>
      <c r="C2" s="377"/>
      <c r="D2" s="377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8"/>
      <c r="B3" s="380"/>
      <c r="C3" s="381" t="s">
        <v>0</v>
      </c>
      <c r="D3" s="382" t="s">
        <v>126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129</v>
      </c>
      <c r="O3" s="389" t="s">
        <v>125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127</v>
      </c>
      <c r="F4" s="418" t="s">
        <v>33</v>
      </c>
      <c r="G4" s="390" t="s">
        <v>128</v>
      </c>
      <c r="H4" s="387" t="s">
        <v>122</v>
      </c>
      <c r="I4" s="390" t="s">
        <v>103</v>
      </c>
      <c r="J4" s="387" t="s">
        <v>104</v>
      </c>
      <c r="K4" s="85" t="s">
        <v>114</v>
      </c>
      <c r="L4" s="204" t="s">
        <v>113</v>
      </c>
      <c r="M4" s="90" t="s">
        <v>63</v>
      </c>
      <c r="N4" s="387"/>
      <c r="O4" s="374" t="s">
        <v>133</v>
      </c>
      <c r="P4" s="390" t="s">
        <v>49</v>
      </c>
      <c r="Q4" s="392" t="s">
        <v>48</v>
      </c>
      <c r="R4" s="91" t="s">
        <v>64</v>
      </c>
      <c r="S4" s="92" t="s">
        <v>63</v>
      </c>
    </row>
    <row r="5" spans="1:19" ht="67.5" customHeight="1">
      <c r="A5" s="379"/>
      <c r="B5" s="380"/>
      <c r="C5" s="381"/>
      <c r="D5" s="382"/>
      <c r="E5" s="373"/>
      <c r="F5" s="419"/>
      <c r="G5" s="391"/>
      <c r="H5" s="388"/>
      <c r="I5" s="391"/>
      <c r="J5" s="388"/>
      <c r="K5" s="393" t="s">
        <v>130</v>
      </c>
      <c r="L5" s="394"/>
      <c r="M5" s="395"/>
      <c r="N5" s="388"/>
      <c r="O5" s="375"/>
      <c r="P5" s="391"/>
      <c r="Q5" s="392"/>
      <c r="R5" s="393" t="s">
        <v>102</v>
      </c>
      <c r="S5" s="39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02"/>
      <c r="H89" s="402"/>
      <c r="I89" s="402"/>
      <c r="J89" s="402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03"/>
      <c r="P90" s="40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04"/>
      <c r="H91" s="404"/>
      <c r="I91" s="118"/>
      <c r="J91" s="416"/>
      <c r="K91" s="416"/>
      <c r="L91" s="416"/>
      <c r="M91" s="416"/>
      <c r="N91" s="416"/>
      <c r="O91" s="403"/>
      <c r="P91" s="403"/>
    </row>
    <row r="92" spans="3:16" ht="15.75" customHeight="1">
      <c r="C92" s="81">
        <v>42732</v>
      </c>
      <c r="D92" s="29">
        <v>19085.6</v>
      </c>
      <c r="F92" s="333"/>
      <c r="G92" s="404"/>
      <c r="H92" s="404"/>
      <c r="I92" s="118"/>
      <c r="J92" s="417"/>
      <c r="K92" s="417"/>
      <c r="L92" s="417"/>
      <c r="M92" s="417"/>
      <c r="N92" s="417"/>
      <c r="O92" s="403"/>
      <c r="P92" s="403"/>
    </row>
    <row r="93" spans="3:14" ht="15.75" customHeight="1">
      <c r="C93" s="81"/>
      <c r="F93" s="333"/>
      <c r="G93" s="406"/>
      <c r="H93" s="406"/>
      <c r="I93" s="124"/>
      <c r="J93" s="416"/>
      <c r="K93" s="416"/>
      <c r="L93" s="416"/>
      <c r="M93" s="416"/>
      <c r="N93" s="416"/>
    </row>
    <row r="94" spans="2:14" ht="18.75" customHeight="1">
      <c r="B94" s="407" t="s">
        <v>56</v>
      </c>
      <c r="C94" s="408"/>
      <c r="D94" s="133" t="e">
        <f>'[1]ЧТКЕ'!$G$6/1000</f>
        <v>#VALUE!</v>
      </c>
      <c r="E94" s="69"/>
      <c r="F94" s="334" t="s">
        <v>107</v>
      </c>
      <c r="G94" s="404"/>
      <c r="H94" s="404"/>
      <c r="I94" s="126"/>
      <c r="J94" s="416"/>
      <c r="K94" s="416"/>
      <c r="L94" s="416"/>
      <c r="M94" s="416"/>
      <c r="N94" s="416"/>
    </row>
    <row r="95" spans="6:13" ht="9" customHeight="1">
      <c r="F95" s="333"/>
      <c r="G95" s="404"/>
      <c r="H95" s="404"/>
      <c r="I95" s="68"/>
      <c r="J95" s="69"/>
      <c r="K95" s="69"/>
      <c r="L95" s="69"/>
      <c r="M95" s="69"/>
    </row>
    <row r="96" spans="2:13" ht="22.5" customHeight="1" hidden="1">
      <c r="B96" s="409" t="s">
        <v>59</v>
      </c>
      <c r="C96" s="410"/>
      <c r="D96" s="80">
        <v>0</v>
      </c>
      <c r="E96" s="51" t="s">
        <v>24</v>
      </c>
      <c r="F96" s="333"/>
      <c r="G96" s="404"/>
      <c r="H96" s="40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05"/>
      <c r="P98" s="40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9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6" t="s">
        <v>260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</row>
    <row r="2" spans="2:25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244</v>
      </c>
      <c r="U3" s="389" t="s">
        <v>252</v>
      </c>
      <c r="V3" s="389"/>
      <c r="W3" s="389"/>
      <c r="X3" s="389"/>
      <c r="Y3" s="389"/>
    </row>
    <row r="4" spans="1:25" ht="22.5" customHeight="1">
      <c r="A4" s="378"/>
      <c r="B4" s="380"/>
      <c r="C4" s="381"/>
      <c r="D4" s="382"/>
      <c r="E4" s="372" t="s">
        <v>249</v>
      </c>
      <c r="F4" s="400" t="s">
        <v>33</v>
      </c>
      <c r="G4" s="390" t="s">
        <v>250</v>
      </c>
      <c r="H4" s="387" t="s">
        <v>251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261</v>
      </c>
      <c r="V4" s="390" t="s">
        <v>49</v>
      </c>
      <c r="W4" s="392" t="s">
        <v>48</v>
      </c>
      <c r="X4" s="91" t="s">
        <v>64</v>
      </c>
      <c r="Y4" s="91"/>
    </row>
    <row r="5" spans="1:25" ht="77.2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247</v>
      </c>
      <c r="L5" s="394"/>
      <c r="M5" s="395"/>
      <c r="N5" s="411" t="s">
        <v>248</v>
      </c>
      <c r="O5" s="412"/>
      <c r="P5" s="413"/>
      <c r="Q5" s="399" t="s">
        <v>253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03"/>
      <c r="V93" s="403"/>
    </row>
    <row r="94" spans="3:22" ht="15">
      <c r="C94" s="81">
        <v>43038</v>
      </c>
      <c r="D94" s="29">
        <v>12345.6</v>
      </c>
      <c r="G94" s="404"/>
      <c r="H94" s="40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3"/>
      <c r="V94" s="403"/>
    </row>
    <row r="95" spans="3:22" ht="15.75" customHeight="1">
      <c r="C95" s="81">
        <v>43035</v>
      </c>
      <c r="D95" s="29">
        <v>10115.9</v>
      </c>
      <c r="F95" s="68"/>
      <c r="G95" s="404"/>
      <c r="H95" s="40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3"/>
      <c r="V95" s="403"/>
    </row>
    <row r="96" spans="3:20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07" t="s">
        <v>56</v>
      </c>
      <c r="C97" s="408"/>
      <c r="D97" s="133">
        <v>0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04"/>
      <c r="H98" s="40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05"/>
      <c r="V101" s="405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376" t="s">
        <v>242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86"/>
      <c r="Y1" s="86"/>
      <c r="Z1" s="312"/>
    </row>
    <row r="2" spans="2:26" s="1" customFormat="1" ht="15.75" customHeight="1">
      <c r="B2" s="377"/>
      <c r="C2" s="377"/>
      <c r="D2" s="377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386" t="s">
        <v>239</v>
      </c>
      <c r="U3" s="389" t="s">
        <v>241</v>
      </c>
      <c r="V3" s="389"/>
      <c r="W3" s="389"/>
      <c r="X3" s="389"/>
      <c r="Y3" s="389"/>
      <c r="Z3" s="359"/>
    </row>
    <row r="4" spans="1:25" ht="22.5" customHeight="1">
      <c r="A4" s="378"/>
      <c r="B4" s="380"/>
      <c r="C4" s="381"/>
      <c r="D4" s="382"/>
      <c r="E4" s="372" t="s">
        <v>236</v>
      </c>
      <c r="F4" s="400" t="s">
        <v>33</v>
      </c>
      <c r="G4" s="390" t="s">
        <v>237</v>
      </c>
      <c r="H4" s="387" t="s">
        <v>238</v>
      </c>
      <c r="I4" s="390" t="s">
        <v>138</v>
      </c>
      <c r="J4" s="387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7"/>
      <c r="U4" s="374" t="s">
        <v>243</v>
      </c>
      <c r="V4" s="390" t="s">
        <v>49</v>
      </c>
      <c r="W4" s="392" t="s">
        <v>48</v>
      </c>
      <c r="X4" s="91" t="s">
        <v>64</v>
      </c>
      <c r="Y4" s="91"/>
    </row>
    <row r="5" spans="1:25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247</v>
      </c>
      <c r="L5" s="394"/>
      <c r="M5" s="395"/>
      <c r="N5" s="396" t="s">
        <v>248</v>
      </c>
      <c r="O5" s="397"/>
      <c r="P5" s="398"/>
      <c r="Q5" s="399" t="s">
        <v>240</v>
      </c>
      <c r="R5" s="399"/>
      <c r="S5" s="399"/>
      <c r="T5" s="388"/>
      <c r="U5" s="375"/>
      <c r="V5" s="391"/>
      <c r="W5" s="392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02"/>
      <c r="H92" s="402"/>
      <c r="I92" s="402"/>
      <c r="J92" s="402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03"/>
      <c r="V93" s="403"/>
      <c r="Z93" s="363">
        <f t="shared" si="40"/>
        <v>0</v>
      </c>
    </row>
    <row r="94" spans="3:26" ht="15">
      <c r="C94" s="81">
        <v>43006</v>
      </c>
      <c r="D94" s="29">
        <v>10724.7</v>
      </c>
      <c r="G94" s="404"/>
      <c r="H94" s="40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03"/>
      <c r="V94" s="403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04"/>
      <c r="H95" s="40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03"/>
      <c r="V95" s="403"/>
      <c r="Z95" s="363">
        <f t="shared" si="40"/>
        <v>0</v>
      </c>
    </row>
    <row r="96" spans="3:26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07" t="s">
        <v>56</v>
      </c>
      <c r="C97" s="408"/>
      <c r="D97" s="133">
        <v>980.44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04"/>
      <c r="H98" s="40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09" t="s">
        <v>59</v>
      </c>
      <c r="C99" s="410"/>
      <c r="D99" s="80"/>
      <c r="E99" s="51" t="s">
        <v>24</v>
      </c>
      <c r="F99" s="68"/>
      <c r="G99" s="404"/>
      <c r="H99" s="40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05"/>
      <c r="V101" s="405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230</v>
      </c>
      <c r="O3" s="389" t="s">
        <v>235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227</v>
      </c>
      <c r="F4" s="400" t="s">
        <v>33</v>
      </c>
      <c r="G4" s="390" t="s">
        <v>228</v>
      </c>
      <c r="H4" s="387" t="s">
        <v>229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234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231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03"/>
      <c r="P93" s="403"/>
    </row>
    <row r="94" spans="3:16" ht="15">
      <c r="C94" s="81">
        <v>42977</v>
      </c>
      <c r="D94" s="29">
        <v>9672.2</v>
      </c>
      <c r="G94" s="404"/>
      <c r="H94" s="404"/>
      <c r="I94" s="118"/>
      <c r="J94" s="295"/>
      <c r="K94" s="295"/>
      <c r="L94" s="295"/>
      <c r="M94" s="295"/>
      <c r="N94" s="295"/>
      <c r="O94" s="403"/>
      <c r="P94" s="403"/>
    </row>
    <row r="95" spans="3:16" ht="15.75" customHeight="1">
      <c r="C95" s="81">
        <v>42976</v>
      </c>
      <c r="D95" s="29">
        <v>5224.7</v>
      </c>
      <c r="F95" s="68"/>
      <c r="G95" s="404"/>
      <c r="H95" s="404"/>
      <c r="I95" s="118"/>
      <c r="J95" s="296"/>
      <c r="K95" s="296"/>
      <c r="L95" s="296"/>
      <c r="M95" s="296"/>
      <c r="N95" s="296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295"/>
      <c r="K96" s="295"/>
      <c r="L96" s="295"/>
      <c r="M96" s="295"/>
      <c r="N96" s="295"/>
    </row>
    <row r="97" spans="2:14" ht="18" customHeight="1">
      <c r="B97" s="407" t="s">
        <v>56</v>
      </c>
      <c r="C97" s="408"/>
      <c r="D97" s="133">
        <v>8826.98</v>
      </c>
      <c r="E97" s="69"/>
      <c r="F97" s="125" t="s">
        <v>107</v>
      </c>
      <c r="G97" s="404"/>
      <c r="H97" s="40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6" t="s">
        <v>232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218</v>
      </c>
      <c r="O3" s="389" t="s">
        <v>220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219</v>
      </c>
      <c r="F4" s="400" t="s">
        <v>33</v>
      </c>
      <c r="G4" s="390" t="s">
        <v>221</v>
      </c>
      <c r="H4" s="387" t="s">
        <v>222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226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225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03"/>
      <c r="P93" s="403"/>
    </row>
    <row r="94" spans="3:16" ht="15">
      <c r="C94" s="81">
        <v>42944</v>
      </c>
      <c r="D94" s="29">
        <v>13586.1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42943</v>
      </c>
      <c r="D95" s="29">
        <v>6106.3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12794.02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6" t="s">
        <v>216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</row>
    <row r="2" spans="2:19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212</v>
      </c>
      <c r="O3" s="389" t="s">
        <v>213</v>
      </c>
      <c r="P3" s="389"/>
      <c r="Q3" s="389"/>
      <c r="R3" s="389"/>
      <c r="S3" s="389"/>
    </row>
    <row r="4" spans="1:19" ht="22.5" customHeight="1">
      <c r="A4" s="378"/>
      <c r="B4" s="380"/>
      <c r="C4" s="381"/>
      <c r="D4" s="382"/>
      <c r="E4" s="372" t="s">
        <v>209</v>
      </c>
      <c r="F4" s="400" t="s">
        <v>33</v>
      </c>
      <c r="G4" s="390" t="s">
        <v>210</v>
      </c>
      <c r="H4" s="387" t="s">
        <v>211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217</v>
      </c>
      <c r="P4" s="390" t="s">
        <v>49</v>
      </c>
      <c r="Q4" s="392" t="s">
        <v>48</v>
      </c>
      <c r="R4" s="91" t="s">
        <v>64</v>
      </c>
      <c r="S4" s="91"/>
    </row>
    <row r="5" spans="1:19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214</v>
      </c>
      <c r="L5" s="394"/>
      <c r="M5" s="395"/>
      <c r="N5" s="388"/>
      <c r="O5" s="375"/>
      <c r="P5" s="391"/>
      <c r="Q5" s="392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03"/>
      <c r="P93" s="403"/>
    </row>
    <row r="94" spans="3:16" ht="15">
      <c r="C94" s="81">
        <v>42913</v>
      </c>
      <c r="D94" s="29">
        <v>9872.9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42912</v>
      </c>
      <c r="D95" s="29">
        <v>4876.1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225.52589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05"/>
      <c r="P101" s="405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207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201</v>
      </c>
      <c r="O3" s="389" t="s">
        <v>202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198</v>
      </c>
      <c r="F4" s="400" t="s">
        <v>33</v>
      </c>
      <c r="G4" s="390" t="s">
        <v>199</v>
      </c>
      <c r="H4" s="387" t="s">
        <v>200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208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204</v>
      </c>
      <c r="L5" s="394"/>
      <c r="M5" s="395"/>
      <c r="N5" s="388"/>
      <c r="O5" s="375"/>
      <c r="P5" s="391"/>
      <c r="Q5" s="392"/>
      <c r="R5" s="414" t="s">
        <v>203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03"/>
      <c r="P93" s="403"/>
    </row>
    <row r="94" spans="3:16" ht="15">
      <c r="C94" s="81">
        <v>42885</v>
      </c>
      <c r="D94" s="29">
        <v>10664.9</v>
      </c>
      <c r="F94" s="113" t="s">
        <v>58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42884</v>
      </c>
      <c r="D95" s="29">
        <v>6919.44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1135.71022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6"/>
      <c r="T1" s="86"/>
      <c r="U1" s="87"/>
    </row>
    <row r="2" spans="2:21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191</v>
      </c>
      <c r="O3" s="389" t="s">
        <v>190</v>
      </c>
      <c r="P3" s="389"/>
      <c r="Q3" s="389"/>
      <c r="R3" s="389"/>
      <c r="S3" s="389"/>
      <c r="T3" s="389"/>
      <c r="U3" s="389"/>
    </row>
    <row r="4" spans="1:21" ht="22.5" customHeight="1">
      <c r="A4" s="378"/>
      <c r="B4" s="380"/>
      <c r="C4" s="381"/>
      <c r="D4" s="382"/>
      <c r="E4" s="372" t="s">
        <v>187</v>
      </c>
      <c r="F4" s="400" t="s">
        <v>33</v>
      </c>
      <c r="G4" s="390" t="s">
        <v>188</v>
      </c>
      <c r="H4" s="387" t="s">
        <v>189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197</v>
      </c>
      <c r="P4" s="390" t="s">
        <v>49</v>
      </c>
      <c r="Q4" s="39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192</v>
      </c>
      <c r="L5" s="394"/>
      <c r="M5" s="395"/>
      <c r="N5" s="388"/>
      <c r="O5" s="375"/>
      <c r="P5" s="391"/>
      <c r="Q5" s="392"/>
      <c r="R5" s="414" t="s">
        <v>193</v>
      </c>
      <c r="S5" s="415"/>
      <c r="T5" s="399" t="s">
        <v>194</v>
      </c>
      <c r="U5" s="399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03"/>
      <c r="P93" s="403"/>
    </row>
    <row r="94" spans="3:16" ht="15">
      <c r="C94" s="81">
        <v>42852</v>
      </c>
      <c r="D94" s="29">
        <v>13266.8</v>
      </c>
      <c r="F94" s="113" t="s">
        <v>58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42851</v>
      </c>
      <c r="D95" s="29">
        <v>6064.2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102.57358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6" t="s">
        <v>185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86"/>
      <c r="S1" s="87"/>
      <c r="T1" s="246"/>
      <c r="U1" s="249"/>
      <c r="V1" s="259"/>
      <c r="W1" s="259"/>
    </row>
    <row r="2" spans="2:23" s="1" customFormat="1" ht="15.75" customHeight="1">
      <c r="B2" s="377"/>
      <c r="C2" s="377"/>
      <c r="D2" s="377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8"/>
      <c r="B3" s="380"/>
      <c r="C3" s="381" t="s">
        <v>0</v>
      </c>
      <c r="D3" s="382" t="s">
        <v>150</v>
      </c>
      <c r="E3" s="32"/>
      <c r="F3" s="383" t="s">
        <v>26</v>
      </c>
      <c r="G3" s="384"/>
      <c r="H3" s="384"/>
      <c r="I3" s="384"/>
      <c r="J3" s="385"/>
      <c r="K3" s="83"/>
      <c r="L3" s="83"/>
      <c r="M3" s="83"/>
      <c r="N3" s="386" t="s">
        <v>163</v>
      </c>
      <c r="O3" s="389" t="s">
        <v>164</v>
      </c>
      <c r="P3" s="389"/>
      <c r="Q3" s="389"/>
      <c r="R3" s="389"/>
      <c r="S3" s="389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8"/>
      <c r="B4" s="380"/>
      <c r="C4" s="381"/>
      <c r="D4" s="382"/>
      <c r="E4" s="372" t="s">
        <v>153</v>
      </c>
      <c r="F4" s="400" t="s">
        <v>33</v>
      </c>
      <c r="G4" s="390" t="s">
        <v>162</v>
      </c>
      <c r="H4" s="387" t="s">
        <v>176</v>
      </c>
      <c r="I4" s="390" t="s">
        <v>138</v>
      </c>
      <c r="J4" s="387" t="s">
        <v>139</v>
      </c>
      <c r="K4" s="85" t="s">
        <v>141</v>
      </c>
      <c r="L4" s="204" t="s">
        <v>113</v>
      </c>
      <c r="M4" s="90" t="s">
        <v>63</v>
      </c>
      <c r="N4" s="387"/>
      <c r="O4" s="374" t="s">
        <v>186</v>
      </c>
      <c r="P4" s="390" t="s">
        <v>49</v>
      </c>
      <c r="Q4" s="39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9"/>
      <c r="B5" s="380"/>
      <c r="C5" s="381"/>
      <c r="D5" s="382"/>
      <c r="E5" s="373"/>
      <c r="F5" s="401"/>
      <c r="G5" s="391"/>
      <c r="H5" s="388"/>
      <c r="I5" s="391"/>
      <c r="J5" s="388"/>
      <c r="K5" s="393" t="s">
        <v>169</v>
      </c>
      <c r="L5" s="394"/>
      <c r="M5" s="395"/>
      <c r="N5" s="388"/>
      <c r="O5" s="375"/>
      <c r="P5" s="391"/>
      <c r="Q5" s="392"/>
      <c r="R5" s="393" t="s">
        <v>102</v>
      </c>
      <c r="S5" s="39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02"/>
      <c r="H92" s="402"/>
      <c r="I92" s="402"/>
      <c r="J92" s="402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03"/>
      <c r="P93" s="403"/>
    </row>
    <row r="94" spans="3:16" ht="15">
      <c r="C94" s="81">
        <v>42824</v>
      </c>
      <c r="D94" s="29">
        <v>11112.7</v>
      </c>
      <c r="F94" s="113" t="s">
        <v>58</v>
      </c>
      <c r="G94" s="404"/>
      <c r="H94" s="404"/>
      <c r="I94" s="118"/>
      <c r="J94" s="416"/>
      <c r="K94" s="416"/>
      <c r="L94" s="416"/>
      <c r="M94" s="416"/>
      <c r="N94" s="416"/>
      <c r="O94" s="403"/>
      <c r="P94" s="403"/>
    </row>
    <row r="95" spans="3:16" ht="15.75" customHeight="1">
      <c r="C95" s="81">
        <v>42823</v>
      </c>
      <c r="D95" s="29">
        <v>8830.3</v>
      </c>
      <c r="F95" s="68"/>
      <c r="G95" s="404"/>
      <c r="H95" s="404"/>
      <c r="I95" s="118"/>
      <c r="J95" s="417"/>
      <c r="K95" s="417"/>
      <c r="L95" s="417"/>
      <c r="M95" s="417"/>
      <c r="N95" s="417"/>
      <c r="O95" s="403"/>
      <c r="P95" s="403"/>
    </row>
    <row r="96" spans="3:14" ht="15.75" customHeight="1">
      <c r="C96" s="81"/>
      <c r="F96" s="68"/>
      <c r="G96" s="406"/>
      <c r="H96" s="406"/>
      <c r="I96" s="124"/>
      <c r="J96" s="416"/>
      <c r="K96" s="416"/>
      <c r="L96" s="416"/>
      <c r="M96" s="416"/>
      <c r="N96" s="416"/>
    </row>
    <row r="97" spans="2:14" ht="18" customHeight="1">
      <c r="B97" s="407" t="s">
        <v>56</v>
      </c>
      <c r="C97" s="408"/>
      <c r="D97" s="133">
        <v>1399.2856000000002</v>
      </c>
      <c r="E97" s="69"/>
      <c r="F97" s="125" t="s">
        <v>107</v>
      </c>
      <c r="G97" s="404"/>
      <c r="H97" s="40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404"/>
      <c r="H98" s="404"/>
      <c r="I98" s="68"/>
      <c r="J98" s="69"/>
      <c r="K98" s="69"/>
      <c r="L98" s="69"/>
      <c r="M98" s="69"/>
    </row>
    <row r="99" spans="2:13" ht="22.5" customHeight="1" hidden="1">
      <c r="B99" s="409" t="s">
        <v>59</v>
      </c>
      <c r="C99" s="410"/>
      <c r="D99" s="80">
        <v>0</v>
      </c>
      <c r="E99" s="51" t="s">
        <v>24</v>
      </c>
      <c r="F99" s="68"/>
      <c r="G99" s="404"/>
      <c r="H99" s="40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05"/>
      <c r="P101" s="40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2017-11-09T09:56:26Z</cp:lastPrinted>
  <dcterms:created xsi:type="dcterms:W3CDTF">2003-07-28T11:27:56Z</dcterms:created>
  <dcterms:modified xsi:type="dcterms:W3CDTF">2017-11-09T10:08:14Z</dcterms:modified>
  <cp:category/>
  <cp:version/>
  <cp:contentType/>
  <cp:contentStatus/>
</cp:coreProperties>
</file>